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Alwa Piura\1 Doing\2017\OLADE\1 Working\Product 3\"/>
    </mc:Choice>
  </mc:AlternateContent>
  <bookViews>
    <workbookView xWindow="0" yWindow="0" windowWidth="20490" windowHeight="6855" activeTab="1"/>
  </bookViews>
  <sheets>
    <sheet name="Informativo" sheetId="11" r:id="rId1"/>
    <sheet name="MH1" sheetId="1" r:id="rId2"/>
    <sheet name="MH2" sheetId="10" r:id="rId3"/>
    <sheet name="Resumen MH" sheetId="9" r:id="rId4"/>
    <sheet name="Paneles" sheetId="5" r:id="rId5"/>
    <sheet name="Luminarias" sheetId="7" r:id="rId6"/>
    <sheet name="Calentadores" sheetId="8" r:id="rId7"/>
  </sheets>
  <externalReferences>
    <externalReference r:id="rId8"/>
    <externalReference r:id="rId9"/>
  </externalReferences>
  <definedNames>
    <definedName name="__123Graph_A" localSheetId="6" hidden="1">'[1]Import. Autos (Datos)'!#REF!</definedName>
    <definedName name="__123Graph_A" localSheetId="2" hidden="1">'[1]Import. Autos (Datos)'!#REF!</definedName>
    <definedName name="__123Graph_A" hidden="1">'[1]Import. Autos (Datos)'!#REF!</definedName>
    <definedName name="__123Graph_ACurrent" localSheetId="6" hidden="1">'[1]Import. Autos (Datos)'!#REF!</definedName>
    <definedName name="__123Graph_ACurrent" localSheetId="2" hidden="1">'[1]Import. Autos (Datos)'!#REF!</definedName>
    <definedName name="__123Graph_ACurrent" hidden="1">'[1]Import. Autos (Datos)'!#REF!</definedName>
    <definedName name="__123Graph_B" localSheetId="6" hidden="1">'[1]Import. Autos (Datos)'!#REF!</definedName>
    <definedName name="__123Graph_B" localSheetId="2" hidden="1">'[1]Import. Autos (Datos)'!#REF!</definedName>
    <definedName name="__123Graph_B" hidden="1">'[1]Import. Autos (Datos)'!#REF!</definedName>
    <definedName name="__123Graph_BCurrent" localSheetId="6" hidden="1">'[1]Import. Autos (Datos)'!#REF!</definedName>
    <definedName name="__123Graph_BCurrent" localSheetId="2" hidden="1">'[1]Import. Autos (Datos)'!#REF!</definedName>
    <definedName name="__123Graph_BCurrent" hidden="1">'[1]Import. Autos (Datos)'!#REF!</definedName>
    <definedName name="__123Graph_C" localSheetId="6" hidden="1">'[1]Import. Comer. (Datos)'!#REF!</definedName>
    <definedName name="__123Graph_C" localSheetId="2" hidden="1">'[1]Import. Comer. (Datos)'!#REF!</definedName>
    <definedName name="__123Graph_C" hidden="1">'[1]Import. Comer. (Datos)'!#REF!</definedName>
    <definedName name="__123Graph_CChart1" localSheetId="6" hidden="1">'[1]Import. Comer. (Datos)'!#REF!</definedName>
    <definedName name="__123Graph_CChart1" localSheetId="2" hidden="1">'[1]Import. Comer. (Datos)'!#REF!</definedName>
    <definedName name="__123Graph_CChart1" hidden="1">'[1]Import. Comer. (Datos)'!#REF!</definedName>
    <definedName name="__123Graph_CChart2" localSheetId="6" hidden="1">'[1]Import. Comer. (Datos)'!#REF!</definedName>
    <definedName name="__123Graph_CChart2" localSheetId="2" hidden="1">'[1]Import. Comer. (Datos)'!#REF!</definedName>
    <definedName name="__123Graph_CChart2" hidden="1">'[1]Import. Comer. (Datos)'!#REF!</definedName>
    <definedName name="__123Graph_CCurrent" localSheetId="6" hidden="1">'[1]Import. Comer. (Datos)'!#REF!</definedName>
    <definedName name="__123Graph_CCurrent" localSheetId="2" hidden="1">'[1]Import. Comer. (Datos)'!#REF!</definedName>
    <definedName name="__123Graph_CCurrent" hidden="1">'[1]Import. Comer. (Datos)'!#REF!</definedName>
    <definedName name="__123Graph_D" localSheetId="6" hidden="1">'[1]Import. Comer. (Datos)'!#REF!</definedName>
    <definedName name="__123Graph_D" localSheetId="2" hidden="1">'[1]Import. Comer. (Datos)'!#REF!</definedName>
    <definedName name="__123Graph_D" hidden="1">'[1]Import. Comer. (Datos)'!#REF!</definedName>
    <definedName name="__123Graph_DChart1" localSheetId="6" hidden="1">'[1]Import. Comer. (Datos)'!#REF!</definedName>
    <definedName name="__123Graph_DChart1" localSheetId="2" hidden="1">'[1]Import. Comer. (Datos)'!#REF!</definedName>
    <definedName name="__123Graph_DChart1" hidden="1">'[1]Import. Comer. (Datos)'!#REF!</definedName>
    <definedName name="__123Graph_DChart2" localSheetId="6" hidden="1">'[1]Import. Comer. (Datos)'!#REF!</definedName>
    <definedName name="__123Graph_DChart2" localSheetId="2" hidden="1">'[1]Import. Comer. (Datos)'!#REF!</definedName>
    <definedName name="__123Graph_DChart2" hidden="1">'[1]Import. Comer. (Datos)'!#REF!</definedName>
    <definedName name="__123Graph_DCurrent" localSheetId="6" hidden="1">'[1]Import. Comer. (Datos)'!#REF!</definedName>
    <definedName name="__123Graph_DCurrent" localSheetId="2" hidden="1">'[1]Import. Comer. (Datos)'!#REF!</definedName>
    <definedName name="__123Graph_DCurrent" hidden="1">'[1]Import. Comer. (Datos)'!#REF!</definedName>
    <definedName name="__123Graph_X" localSheetId="6" hidden="1">'[1]Import. Autos (Datos)'!#REF!</definedName>
    <definedName name="__123Graph_X" localSheetId="2" hidden="1">'[1]Import. Autos (Datos)'!#REF!</definedName>
    <definedName name="__123Graph_X" hidden="1">'[1]Import. Autos (Datos)'!#REF!</definedName>
    <definedName name="__123Graph_XCurrent" localSheetId="6" hidden="1">'[1]Import. Autos (Datos)'!#REF!</definedName>
    <definedName name="__123Graph_XCurrent" localSheetId="2" hidden="1">'[1]Import. Autos (Datos)'!#REF!</definedName>
    <definedName name="__123Graph_XCurrent" hidden="1">'[1]Import. Autos (Datos)'!#REF!</definedName>
    <definedName name="_Order1" hidden="1">0</definedName>
    <definedName name="asd" hidden="1">{"'RELATÓRIO'!$A$1:$E$20","'RELATÓRIO'!$A$22:$D$34","'INTERNET'!$A$31:$G$58","'INTERNET'!$A$1:$G$28","'SÉRIE HISTÓRICA'!$A$167:$H$212","'SÉRIE HISTÓRICA'!$A$56:$H$101"}</definedName>
    <definedName name="HTML_CodePage" hidden="1">1252</definedName>
    <definedName name="HTML_Control" hidden="1">{"'RELATÓRIO'!$A$1:$E$20","'RELATÓRIO'!$A$22:$D$34","'INTERNET'!$A$31:$G$58","'INTERNET'!$A$1:$G$28","'SÉRIE HISTÓRICA'!$A$167:$H$212","'SÉRIE HISTÓRICA'!$A$56:$H$101"}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"C:\DIVULGAÇÃO INPC IPCA 2001\inpc0501.htm"</definedName>
    <definedName name="HTML_Title" hidden="1">""</definedName>
    <definedName name="kWhPERjoule">Paneles!$C$51</definedName>
    <definedName name="Max" hidden="1">{"Placas",#N/A,FALSE,"A";"Ventas",#N/A,FALSE,"A"}</definedName>
    <definedName name="Mwh_TJ">Paneles!$C$50</definedName>
    <definedName name="uso" hidden="1">{"'RELATÓRIO'!$A$1:$E$20","'RELATÓRIO'!$A$22:$D$34","'INTERNET'!$A$31:$G$58","'INTERNET'!$A$1:$G$28","'SÉRIE HISTÓRICA'!$A$167:$H$212","'SÉRIE HISTÓRICA'!$A$56:$H$101"}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0" l="1"/>
  <c r="C14" i="10"/>
  <c r="Q23" i="1"/>
  <c r="Q21" i="1"/>
  <c r="Q22" i="1"/>
  <c r="P16" i="1"/>
  <c r="P14" i="1"/>
  <c r="P15" i="1" s="1"/>
  <c r="G10" i="8" l="1"/>
  <c r="C10" i="7"/>
  <c r="N45" i="8"/>
  <c r="C86" i="8"/>
  <c r="C68" i="8"/>
  <c r="G68" i="8"/>
  <c r="H69" i="8"/>
  <c r="H70" i="8"/>
  <c r="H71" i="8"/>
  <c r="H72" i="8"/>
  <c r="H73" i="8"/>
  <c r="H74" i="8"/>
  <c r="H75" i="8"/>
  <c r="H76" i="8"/>
  <c r="H77" i="8"/>
  <c r="H78" i="8"/>
  <c r="H79" i="8"/>
  <c r="H80" i="8"/>
  <c r="H68" i="8"/>
  <c r="D68" i="8"/>
  <c r="E28" i="8"/>
  <c r="C56" i="8"/>
  <c r="C53" i="8"/>
  <c r="B28" i="8"/>
  <c r="C31" i="8" s="1"/>
  <c r="D31" i="8" s="1"/>
  <c r="C38" i="8" l="1"/>
  <c r="D38" i="8" s="1"/>
  <c r="E38" i="8" s="1"/>
  <c r="C34" i="8"/>
  <c r="D34" i="8" s="1"/>
  <c r="E34" i="8" s="1"/>
  <c r="C37" i="8"/>
  <c r="D37" i="8" s="1"/>
  <c r="E37" i="8" s="1"/>
  <c r="C29" i="8"/>
  <c r="D29" i="8" s="1"/>
  <c r="E29" i="8" s="1"/>
  <c r="C40" i="8"/>
  <c r="D40" i="8" s="1"/>
  <c r="C36" i="8"/>
  <c r="D36" i="8" s="1"/>
  <c r="C32" i="8"/>
  <c r="D32" i="8" s="1"/>
  <c r="E32" i="8" s="1"/>
  <c r="E31" i="8"/>
  <c r="C30" i="8"/>
  <c r="D30" i="8" s="1"/>
  <c r="C28" i="8"/>
  <c r="D28" i="8" s="1"/>
  <c r="C33" i="8"/>
  <c r="D33" i="8" s="1"/>
  <c r="E33" i="8" s="1"/>
  <c r="C39" i="8"/>
  <c r="D39" i="8" s="1"/>
  <c r="E39" i="8" s="1"/>
  <c r="C35" i="8"/>
  <c r="D35" i="8" s="1"/>
  <c r="E35" i="8" s="1"/>
  <c r="E30" i="8"/>
  <c r="E40" i="8"/>
  <c r="E36" i="8"/>
  <c r="C20" i="10"/>
  <c r="E42" i="10"/>
  <c r="B42" i="10"/>
  <c r="E41" i="10"/>
  <c r="B41" i="10"/>
  <c r="E40" i="10"/>
  <c r="B40" i="10"/>
  <c r="E39" i="10"/>
  <c r="B39" i="10"/>
  <c r="E38" i="10"/>
  <c r="B38" i="10"/>
  <c r="E37" i="10"/>
  <c r="B37" i="10"/>
  <c r="E36" i="10"/>
  <c r="B36" i="10"/>
  <c r="E35" i="10"/>
  <c r="B35" i="10"/>
  <c r="E34" i="10"/>
  <c r="B34" i="10"/>
  <c r="E33" i="10"/>
  <c r="B33" i="10"/>
  <c r="E32" i="10"/>
  <c r="B32" i="10"/>
  <c r="E31" i="10"/>
  <c r="B31" i="10"/>
  <c r="E30" i="10"/>
  <c r="B30" i="10"/>
  <c r="E29" i="10"/>
  <c r="B29" i="10"/>
  <c r="E28" i="10"/>
  <c r="B28" i="10"/>
  <c r="E27" i="10"/>
  <c r="B27" i="10"/>
  <c r="E26" i="10"/>
  <c r="B26" i="10"/>
  <c r="S64" i="7" l="1"/>
  <c r="E16" i="7" l="1"/>
  <c r="P11" i="5"/>
  <c r="D9" i="5"/>
  <c r="C33" i="5" l="1"/>
  <c r="I9" i="5"/>
  <c r="F9" i="5"/>
  <c r="O24" i="10"/>
  <c r="O30" i="1" l="1"/>
  <c r="W25" i="7"/>
  <c r="W24" i="7"/>
  <c r="T33" i="7"/>
  <c r="S63" i="7" l="1"/>
  <c r="S62" i="7"/>
  <c r="P16" i="5"/>
  <c r="E104" i="7"/>
  <c r="D103" i="7"/>
  <c r="C105" i="7"/>
  <c r="F29" i="8"/>
  <c r="C34" i="5" l="1"/>
  <c r="S9" i="7" l="1"/>
  <c r="I15" i="5"/>
  <c r="P9" i="8" l="1"/>
  <c r="N9" i="8"/>
  <c r="U9" i="7"/>
  <c r="C48" i="5" l="1"/>
  <c r="C13" i="9" l="1"/>
  <c r="D14" i="10"/>
  <c r="P7" i="10" s="1"/>
  <c r="E14" i="1"/>
  <c r="P9" i="1"/>
  <c r="P8" i="1"/>
  <c r="P7" i="1"/>
  <c r="P13" i="1" l="1"/>
  <c r="C50" i="8" l="1"/>
  <c r="F30" i="8" l="1"/>
  <c r="F31" i="8"/>
  <c r="F32" i="8"/>
  <c r="F33" i="8"/>
  <c r="F34" i="8"/>
  <c r="F35" i="8"/>
  <c r="F36" i="8"/>
  <c r="F37" i="8"/>
  <c r="F38" i="8"/>
  <c r="F39" i="8"/>
  <c r="F40" i="8"/>
  <c r="G150" i="7" l="1"/>
  <c r="C49" i="8"/>
  <c r="N17" i="8" l="1"/>
  <c r="N18" i="8"/>
  <c r="N28" i="8"/>
  <c r="N29" i="8"/>
  <c r="N27" i="8"/>
  <c r="N23" i="8"/>
  <c r="N19" i="8"/>
  <c r="N26" i="8"/>
  <c r="N22" i="8"/>
  <c r="N25" i="8"/>
  <c r="N21" i="8"/>
  <c r="N24" i="8"/>
  <c r="N20" i="8"/>
  <c r="D16" i="8"/>
  <c r="Q9" i="8"/>
  <c r="O9" i="8"/>
  <c r="S17" i="8" l="1"/>
  <c r="P25" i="8"/>
  <c r="T25" i="8"/>
  <c r="P20" i="8"/>
  <c r="T20" i="8"/>
  <c r="P22" i="8"/>
  <c r="T22" i="8"/>
  <c r="P27" i="8"/>
  <c r="T27" i="8"/>
  <c r="P23" i="8"/>
  <c r="T23" i="8"/>
  <c r="P18" i="8"/>
  <c r="T18" i="8"/>
  <c r="P24" i="8"/>
  <c r="T24" i="8"/>
  <c r="P26" i="8"/>
  <c r="T26" i="8"/>
  <c r="P29" i="8"/>
  <c r="T29" i="8"/>
  <c r="P21" i="8"/>
  <c r="T21" i="8"/>
  <c r="P19" i="8"/>
  <c r="T19" i="8"/>
  <c r="P28" i="8"/>
  <c r="T28" i="8"/>
  <c r="T17" i="8"/>
  <c r="P17" i="8"/>
  <c r="U16" i="8"/>
  <c r="U17" i="8" l="1"/>
  <c r="O17" i="8"/>
  <c r="Q17" i="8" s="1"/>
  <c r="E82" i="7" l="1"/>
  <c r="E81" i="7"/>
  <c r="E17" i="7"/>
  <c r="C106" i="7"/>
  <c r="C107" i="7" s="1"/>
  <c r="C108" i="7" s="1"/>
  <c r="C109" i="7" s="1"/>
  <c r="C110" i="7" s="1"/>
  <c r="C111" i="7" s="1"/>
  <c r="C112" i="7" s="1"/>
  <c r="C113" i="7" s="1"/>
  <c r="C114" i="7" s="1"/>
  <c r="C115" i="7" s="1"/>
  <c r="D82" i="7"/>
  <c r="C82" i="7"/>
  <c r="B82" i="7"/>
  <c r="B89" i="7" s="1"/>
  <c r="D81" i="7"/>
  <c r="C81" i="7"/>
  <c r="F81" i="7" s="1"/>
  <c r="B81" i="7"/>
  <c r="B88" i="7" s="1"/>
  <c r="D75" i="7"/>
  <c r="B75" i="7"/>
  <c r="D74" i="7"/>
  <c r="B74" i="7"/>
  <c r="S17" i="7"/>
  <c r="S16" i="7"/>
  <c r="V9" i="7"/>
  <c r="T9" i="7"/>
  <c r="H150" i="7" l="1"/>
  <c r="T16" i="7"/>
  <c r="C74" i="7"/>
  <c r="F74" i="7" s="1"/>
  <c r="D88" i="7" s="1"/>
  <c r="T17" i="7"/>
  <c r="C75" i="7"/>
  <c r="F75" i="7" s="1"/>
  <c r="D89" i="7" s="1"/>
  <c r="F82" i="7"/>
  <c r="E89" i="7" s="1"/>
  <c r="E88" i="7"/>
  <c r="U25" i="7"/>
  <c r="C88" i="7"/>
  <c r="U24" i="7"/>
  <c r="X25" i="7" l="1"/>
  <c r="X17" i="7"/>
  <c r="X16" i="7"/>
  <c r="X33" i="7" s="1"/>
  <c r="X24" i="7"/>
  <c r="S33" i="7" s="1"/>
  <c r="U16" i="7"/>
  <c r="V16" i="7" s="1"/>
  <c r="U17" i="7"/>
  <c r="V17" i="7" s="1"/>
  <c r="H88" i="7"/>
  <c r="H89" i="7"/>
  <c r="G151" i="7"/>
  <c r="H151" i="7" s="1"/>
  <c r="W33" i="7" l="1"/>
  <c r="Y33" i="7" s="1"/>
  <c r="D104" i="7"/>
  <c r="U33" i="7"/>
  <c r="S34" i="7"/>
  <c r="G152" i="7"/>
  <c r="H152" i="7" s="1"/>
  <c r="W34" i="7" l="1"/>
  <c r="Y34" i="7" s="1"/>
  <c r="S35" i="7"/>
  <c r="U34" i="7"/>
  <c r="D105" i="7"/>
  <c r="D106" i="7" s="1"/>
  <c r="D107" i="7" s="1"/>
  <c r="C128" i="7"/>
  <c r="C150" i="7" s="1"/>
  <c r="G153" i="7"/>
  <c r="H153" i="7" s="1"/>
  <c r="W35" i="7" l="1"/>
  <c r="W36" i="7" s="1"/>
  <c r="S36" i="7"/>
  <c r="U35" i="7"/>
  <c r="E105" i="7"/>
  <c r="C129" i="7" s="1"/>
  <c r="D129" i="7" s="1"/>
  <c r="D128" i="7"/>
  <c r="E106" i="7"/>
  <c r="C130" i="7" s="1"/>
  <c r="D130" i="7" s="1"/>
  <c r="D150" i="7"/>
  <c r="C168" i="7" s="1"/>
  <c r="C151" i="7"/>
  <c r="D151" i="7" s="1"/>
  <c r="C169" i="7" s="1"/>
  <c r="G154" i="7"/>
  <c r="H154" i="7" s="1"/>
  <c r="E107" i="7"/>
  <c r="C131" i="7" s="1"/>
  <c r="D108" i="7"/>
  <c r="Y35" i="7" l="1"/>
  <c r="U36" i="7"/>
  <c r="S37" i="7"/>
  <c r="Y36" i="7"/>
  <c r="W37" i="7"/>
  <c r="C152" i="7"/>
  <c r="D152" i="7" s="1"/>
  <c r="C170" i="7" s="1"/>
  <c r="C153" i="7"/>
  <c r="D153" i="7" s="1"/>
  <c r="C171" i="7" s="1"/>
  <c r="D131" i="7"/>
  <c r="E108" i="7"/>
  <c r="C132" i="7" s="1"/>
  <c r="D132" i="7" s="1"/>
  <c r="D109" i="7"/>
  <c r="G155" i="7"/>
  <c r="H155" i="7" s="1"/>
  <c r="U37" i="7" l="1"/>
  <c r="S38" i="7"/>
  <c r="Y37" i="7"/>
  <c r="W38" i="7"/>
  <c r="C154" i="7"/>
  <c r="D154" i="7" s="1"/>
  <c r="C172" i="7" s="1"/>
  <c r="G156" i="7"/>
  <c r="H156" i="7" s="1"/>
  <c r="D110" i="7"/>
  <c r="E109" i="7"/>
  <c r="C133" i="7" s="1"/>
  <c r="U38" i="7" l="1"/>
  <c r="S39" i="7"/>
  <c r="Y38" i="7"/>
  <c r="W39" i="7"/>
  <c r="C155" i="7"/>
  <c r="D155" i="7" s="1"/>
  <c r="C173" i="7" s="1"/>
  <c r="D133" i="7"/>
  <c r="G157" i="7"/>
  <c r="H157" i="7" s="1"/>
  <c r="D111" i="7"/>
  <c r="E110" i="7"/>
  <c r="C134" i="7" s="1"/>
  <c r="D134" i="7" s="1"/>
  <c r="Y39" i="7" l="1"/>
  <c r="W40" i="7"/>
  <c r="U39" i="7"/>
  <c r="S40" i="7"/>
  <c r="E111" i="7"/>
  <c r="C135" i="7" s="1"/>
  <c r="D135" i="7" s="1"/>
  <c r="D112" i="7"/>
  <c r="G158" i="7"/>
  <c r="H158" i="7" s="1"/>
  <c r="C156" i="7"/>
  <c r="D156" i="7" s="1"/>
  <c r="C174" i="7" s="1"/>
  <c r="Y40" i="7" l="1"/>
  <c r="W41" i="7"/>
  <c r="U40" i="7"/>
  <c r="S41" i="7"/>
  <c r="C157" i="7"/>
  <c r="D157" i="7" s="1"/>
  <c r="C175" i="7" s="1"/>
  <c r="G159" i="7"/>
  <c r="H159" i="7" s="1"/>
  <c r="E112" i="7"/>
  <c r="C136" i="7" s="1"/>
  <c r="D113" i="7"/>
  <c r="U41" i="7" l="1"/>
  <c r="S42" i="7"/>
  <c r="Y41" i="7"/>
  <c r="W42" i="7"/>
  <c r="D136" i="7"/>
  <c r="C158" i="7"/>
  <c r="D158" i="7" s="1"/>
  <c r="C176" i="7" s="1"/>
  <c r="D114" i="7"/>
  <c r="E113" i="7"/>
  <c r="C137" i="7" s="1"/>
  <c r="D137" i="7" s="1"/>
  <c r="G160" i="7"/>
  <c r="H160" i="7" s="1"/>
  <c r="Y42" i="7" l="1"/>
  <c r="W43" i="7"/>
  <c r="U42" i="7"/>
  <c r="S43" i="7"/>
  <c r="C159" i="7"/>
  <c r="D159" i="7" s="1"/>
  <c r="C177" i="7" s="1"/>
  <c r="E114" i="7"/>
  <c r="C138" i="7" s="1"/>
  <c r="D138" i="7" s="1"/>
  <c r="D115" i="7"/>
  <c r="G161" i="7"/>
  <c r="H161" i="7" s="1"/>
  <c r="Y43" i="7" l="1"/>
  <c r="W44" i="7"/>
  <c r="U43" i="7"/>
  <c r="S44" i="7"/>
  <c r="C160" i="7"/>
  <c r="D160" i="7" s="1"/>
  <c r="C178" i="7" s="1"/>
  <c r="E115" i="7"/>
  <c r="C139" i="7" s="1"/>
  <c r="D139" i="7" s="1"/>
  <c r="D116" i="7"/>
  <c r="E116" i="7" s="1"/>
  <c r="C140" i="7" s="1"/>
  <c r="G162" i="7"/>
  <c r="H162" i="7" s="1"/>
  <c r="U44" i="7" l="1"/>
  <c r="S45" i="7"/>
  <c r="Y44" i="7"/>
  <c r="W45" i="7"/>
  <c r="D140" i="7"/>
  <c r="D142" i="7" s="1"/>
  <c r="C142" i="7"/>
  <c r="C161" i="7"/>
  <c r="D161" i="7" s="1"/>
  <c r="C179" i="7" s="1"/>
  <c r="C162" i="7"/>
  <c r="G163" i="7"/>
  <c r="C141" i="7"/>
  <c r="Y45" i="7" l="1"/>
  <c r="W46" i="7"/>
  <c r="Y46" i="7" s="1"/>
  <c r="U45" i="7"/>
  <c r="S46" i="7"/>
  <c r="U46" i="7" s="1"/>
  <c r="D141" i="7"/>
  <c r="H163" i="7"/>
  <c r="D162" i="7"/>
  <c r="D163" i="7" s="1"/>
  <c r="C163" i="7"/>
  <c r="C181" i="7" l="1"/>
  <c r="C185" i="7" s="1"/>
  <c r="C180" i="7"/>
  <c r="C182" i="7" s="1"/>
  <c r="P10" i="5" l="1"/>
  <c r="T26" i="5" s="1"/>
  <c r="T27" i="5" s="1"/>
  <c r="C22" i="5"/>
  <c r="C23" i="5" l="1"/>
  <c r="C24" i="5" s="1"/>
  <c r="C25" i="5" s="1"/>
  <c r="C26" i="5" s="1"/>
  <c r="C27" i="5" s="1"/>
  <c r="C28" i="5" s="1"/>
  <c r="C29" i="5" s="1"/>
  <c r="C30" i="5" s="1"/>
  <c r="C31" i="5" s="1"/>
  <c r="C32" i="5" s="1"/>
  <c r="D22" i="5"/>
  <c r="Q26" i="5"/>
  <c r="C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R16" i="5"/>
  <c r="P9" i="5"/>
  <c r="Q28" i="5" l="1"/>
  <c r="D24" i="5"/>
  <c r="P28" i="5" s="1"/>
  <c r="Q27" i="5"/>
  <c r="D23" i="5"/>
  <c r="P27" i="5" s="1"/>
  <c r="U27" i="5" s="1"/>
  <c r="V27" i="5" s="1"/>
  <c r="R28" i="5"/>
  <c r="R26" i="5"/>
  <c r="R20" i="5"/>
  <c r="R27" i="5"/>
  <c r="E22" i="5"/>
  <c r="G61" i="5" s="1"/>
  <c r="F22" i="5"/>
  <c r="H61" i="5" s="1"/>
  <c r="C78" i="5" s="1"/>
  <c r="P26" i="5"/>
  <c r="D74" i="5"/>
  <c r="Q29" i="5" l="1"/>
  <c r="R29" i="5" s="1"/>
  <c r="D25" i="5"/>
  <c r="P29" i="5" s="1"/>
  <c r="F23" i="5"/>
  <c r="H62" i="5" s="1"/>
  <c r="E23" i="5"/>
  <c r="G62" i="5" s="1"/>
  <c r="U28" i="5"/>
  <c r="U26" i="5"/>
  <c r="V26" i="5" s="1"/>
  <c r="E24" i="5"/>
  <c r="G63" i="5" s="1"/>
  <c r="F24" i="5"/>
  <c r="H63" i="5" s="1"/>
  <c r="Q30" i="5" l="1"/>
  <c r="R30" i="5" s="1"/>
  <c r="D26" i="5"/>
  <c r="P30" i="5" s="1"/>
  <c r="U29" i="5"/>
  <c r="F25" i="5"/>
  <c r="H64" i="5" s="1"/>
  <c r="E25" i="5"/>
  <c r="G64" i="5" s="1"/>
  <c r="Q31" i="5" l="1"/>
  <c r="R31" i="5" s="1"/>
  <c r="D27" i="5"/>
  <c r="P31" i="5" s="1"/>
  <c r="U30" i="5"/>
  <c r="F26" i="5"/>
  <c r="H65" i="5" s="1"/>
  <c r="E26" i="5"/>
  <c r="G65" i="5" s="1"/>
  <c r="Q32" i="5" l="1"/>
  <c r="R32" i="5" s="1"/>
  <c r="D28" i="5"/>
  <c r="U31" i="5"/>
  <c r="E27" i="5"/>
  <c r="G66" i="5" s="1"/>
  <c r="F27" i="5"/>
  <c r="H66" i="5" s="1"/>
  <c r="T28" i="5"/>
  <c r="V28" i="5" s="1"/>
  <c r="Q33" i="5" l="1"/>
  <c r="R33" i="5" s="1"/>
  <c r="D29" i="5"/>
  <c r="P33" i="5" s="1"/>
  <c r="P32" i="5"/>
  <c r="E28" i="5"/>
  <c r="G67" i="5" s="1"/>
  <c r="F28" i="5"/>
  <c r="H67" i="5" s="1"/>
  <c r="C79" i="5"/>
  <c r="T29" i="5"/>
  <c r="V29" i="5" s="1"/>
  <c r="Q34" i="5" l="1"/>
  <c r="R34" i="5" s="1"/>
  <c r="D30" i="5"/>
  <c r="P34" i="5" s="1"/>
  <c r="U33" i="5"/>
  <c r="U32" i="5"/>
  <c r="F29" i="5"/>
  <c r="H68" i="5" s="1"/>
  <c r="E29" i="5"/>
  <c r="G68" i="5" s="1"/>
  <c r="T30" i="5"/>
  <c r="V30" i="5" s="1"/>
  <c r="Q35" i="5" l="1"/>
  <c r="R35" i="5" s="1"/>
  <c r="D31" i="5"/>
  <c r="P35" i="5" s="1"/>
  <c r="U34" i="5"/>
  <c r="F30" i="5"/>
  <c r="H69" i="5" s="1"/>
  <c r="E30" i="5"/>
  <c r="G69" i="5" s="1"/>
  <c r="C81" i="5"/>
  <c r="T31" i="5"/>
  <c r="V31" i="5" s="1"/>
  <c r="Q36" i="5" l="1"/>
  <c r="R36" i="5" s="1"/>
  <c r="D32" i="5"/>
  <c r="P36" i="5" s="1"/>
  <c r="U35" i="5"/>
  <c r="E31" i="5"/>
  <c r="G70" i="5" s="1"/>
  <c r="F31" i="5"/>
  <c r="H70" i="5" s="1"/>
  <c r="T32" i="5"/>
  <c r="V32" i="5" s="1"/>
  <c r="C80" i="5"/>
  <c r="Q37" i="5" l="1"/>
  <c r="R37" i="5" s="1"/>
  <c r="D33" i="5"/>
  <c r="P37" i="5" s="1"/>
  <c r="U36" i="5"/>
  <c r="F32" i="5"/>
  <c r="H71" i="5" s="1"/>
  <c r="E32" i="5"/>
  <c r="G71" i="5" s="1"/>
  <c r="D34" i="5"/>
  <c r="C83" i="5"/>
  <c r="T33" i="5"/>
  <c r="V33" i="5" s="1"/>
  <c r="P7" i="5" l="1"/>
  <c r="Q38" i="5"/>
  <c r="R38" i="5" s="1"/>
  <c r="U37" i="5"/>
  <c r="P38" i="5"/>
  <c r="F33" i="5"/>
  <c r="H72" i="5" s="1"/>
  <c r="E33" i="5"/>
  <c r="G72" i="5" s="1"/>
  <c r="F34" i="5"/>
  <c r="H73" i="5" s="1"/>
  <c r="T34" i="5"/>
  <c r="V34" i="5" s="1"/>
  <c r="C82" i="5"/>
  <c r="E34" i="5" l="1"/>
  <c r="G73" i="5" s="1"/>
  <c r="U38" i="5"/>
  <c r="P55" i="5"/>
  <c r="C85" i="5"/>
  <c r="T35" i="5"/>
  <c r="V35" i="5" s="1"/>
  <c r="T36" i="5" l="1"/>
  <c r="V36" i="5" s="1"/>
  <c r="C84" i="5"/>
  <c r="T37" i="5" l="1"/>
  <c r="V37" i="5" s="1"/>
  <c r="C87" i="5"/>
  <c r="C88" i="5" l="1"/>
  <c r="T38" i="5"/>
  <c r="C86" i="5"/>
  <c r="V38" i="5" l="1"/>
  <c r="P56" i="5" s="1"/>
  <c r="C89" i="5"/>
  <c r="P57" i="5" l="1"/>
  <c r="G74" i="5"/>
  <c r="C90" i="5" l="1"/>
  <c r="H74" i="5"/>
  <c r="C91" i="5" l="1"/>
  <c r="C95" i="5" s="1"/>
  <c r="C92" i="5"/>
  <c r="D14" i="1" l="1"/>
  <c r="S28" i="8" l="1"/>
  <c r="U28" i="8" s="1"/>
  <c r="S29" i="8" l="1"/>
  <c r="U29" i="8" s="1"/>
  <c r="O29" i="8"/>
  <c r="Q29" i="8" s="1"/>
  <c r="O19" i="8"/>
  <c r="Q19" i="8" s="1"/>
  <c r="S19" i="8"/>
  <c r="U19" i="8" s="1"/>
  <c r="G80" i="8"/>
  <c r="O28" i="8"/>
  <c r="Q28" i="8" s="1"/>
  <c r="G79" i="8"/>
  <c r="S26" i="8"/>
  <c r="U26" i="8" s="1"/>
  <c r="S20" i="8"/>
  <c r="U20" i="8" s="1"/>
  <c r="G70" i="8"/>
  <c r="S24" i="8"/>
  <c r="U24" i="8" s="1"/>
  <c r="S27" i="8"/>
  <c r="U27" i="8" s="1"/>
  <c r="S21" i="8"/>
  <c r="U21" i="8" s="1"/>
  <c r="S18" i="8"/>
  <c r="U18" i="8" s="1"/>
  <c r="S23" i="8"/>
  <c r="U23" i="8" s="1"/>
  <c r="S22" i="8"/>
  <c r="U22" i="8" s="1"/>
  <c r="S25" i="8"/>
  <c r="U25" i="8" s="1"/>
  <c r="D80" i="8" l="1"/>
  <c r="C98" i="8" s="1"/>
  <c r="C70" i="8"/>
  <c r="U30" i="8"/>
  <c r="N46" i="8" s="1"/>
  <c r="D70" i="8"/>
  <c r="C88" i="8" s="1"/>
  <c r="C80" i="8"/>
  <c r="O21" i="8"/>
  <c r="Q21" i="8" s="1"/>
  <c r="G72" i="8"/>
  <c r="G71" i="8"/>
  <c r="O20" i="8"/>
  <c r="Q20" i="8" s="1"/>
  <c r="C79" i="8"/>
  <c r="D79" i="8"/>
  <c r="C97" i="8" s="1"/>
  <c r="O23" i="8"/>
  <c r="Q23" i="8" s="1"/>
  <c r="G74" i="8"/>
  <c r="G78" i="8"/>
  <c r="O27" i="8"/>
  <c r="Q27" i="8" s="1"/>
  <c r="G77" i="8"/>
  <c r="O26" i="8"/>
  <c r="Q26" i="8" s="1"/>
  <c r="O22" i="8"/>
  <c r="Q22" i="8" s="1"/>
  <c r="G73" i="8"/>
  <c r="G76" i="8"/>
  <c r="O25" i="8"/>
  <c r="Q25" i="8" s="1"/>
  <c r="O18" i="8"/>
  <c r="Q18" i="8" s="1"/>
  <c r="G69" i="8"/>
  <c r="G75" i="8"/>
  <c r="O24" i="8"/>
  <c r="Q24" i="8" s="1"/>
  <c r="Q30" i="8" l="1"/>
  <c r="N47" i="8" s="1"/>
  <c r="G81" i="8"/>
  <c r="C69" i="8"/>
  <c r="D69" i="8"/>
  <c r="C87" i="8" s="1"/>
  <c r="C77" i="8"/>
  <c r="D77" i="8"/>
  <c r="C95" i="8" s="1"/>
  <c r="D76" i="8"/>
  <c r="C94" i="8" s="1"/>
  <c r="C76" i="8"/>
  <c r="H81" i="8"/>
  <c r="C73" i="8"/>
  <c r="D73" i="8"/>
  <c r="C91" i="8" s="1"/>
  <c r="C78" i="8"/>
  <c r="D78" i="8"/>
  <c r="C96" i="8" s="1"/>
  <c r="D71" i="8"/>
  <c r="C89" i="8" s="1"/>
  <c r="C71" i="8"/>
  <c r="C75" i="8"/>
  <c r="D75" i="8"/>
  <c r="C93" i="8" s="1"/>
  <c r="C74" i="8"/>
  <c r="D74" i="8"/>
  <c r="C92" i="8" s="1"/>
  <c r="D72" i="8"/>
  <c r="C90" i="8" s="1"/>
  <c r="C72" i="8"/>
  <c r="C100" i="8" l="1"/>
  <c r="D81" i="8"/>
  <c r="C99" i="8" s="1"/>
  <c r="C103" i="8" s="1"/>
  <c r="C81" i="8"/>
  <c r="Q13" i="10" l="1"/>
  <c r="C19" i="1"/>
  <c r="C14" i="1" s="1"/>
  <c r="O7" i="10"/>
  <c r="Q14" i="10" l="1"/>
  <c r="Q12" i="10" s="1"/>
  <c r="P25" i="10" s="1"/>
  <c r="D10" i="9"/>
  <c r="D11" i="9" s="1"/>
  <c r="D4" i="9" l="1"/>
  <c r="Q16" i="10"/>
  <c r="D13" i="9" s="1"/>
  <c r="D9" i="9"/>
  <c r="Q15" i="10"/>
  <c r="Q17" i="10" l="1"/>
  <c r="Q20" i="1"/>
  <c r="D5" i="9"/>
  <c r="D12" i="9"/>
  <c r="D14" i="9" s="1"/>
  <c r="P31" i="1" l="1"/>
  <c r="D3" i="9"/>
  <c r="D16" i="9" s="1"/>
  <c r="D6" i="9"/>
  <c r="Q25" i="1" l="1"/>
  <c r="D8" i="9"/>
</calcChain>
</file>

<file path=xl/comments1.xml><?xml version="1.0" encoding="utf-8"?>
<comments xmlns="http://schemas.openxmlformats.org/spreadsheetml/2006/main">
  <authors>
    <author>Luis Arturo</author>
  </authors>
  <commentList>
    <comment ref="B27" authorId="0" shapeId="0">
      <text>
        <r>
          <rPr>
            <b/>
            <sz val="9"/>
            <color indexed="81"/>
            <rFont val="Tahoma"/>
            <family val="2"/>
          </rPr>
          <t>Luis Arturo:</t>
        </r>
        <r>
          <rPr>
            <sz val="9"/>
            <color indexed="81"/>
            <rFont val="Tahoma"/>
            <family val="2"/>
          </rPr>
          <t xml:space="preserve">
incluye Lima</t>
        </r>
      </text>
    </comment>
  </commentList>
</comments>
</file>

<file path=xl/sharedStrings.xml><?xml version="1.0" encoding="utf-8"?>
<sst xmlns="http://schemas.openxmlformats.org/spreadsheetml/2006/main" count="659" uniqueCount="401">
  <si>
    <t>Fuentes de financiamiento</t>
  </si>
  <si>
    <t>Brecha de Financiación Global</t>
  </si>
  <si>
    <t>Medidas MRV auditoria en EE</t>
  </si>
  <si>
    <t>Capacitación funcionarios de las Entidades Publicas</t>
  </si>
  <si>
    <t>Instructores externos</t>
  </si>
  <si>
    <t>Material de capacitación</t>
  </si>
  <si>
    <t xml:space="preserve">Otros </t>
  </si>
  <si>
    <t>Total</t>
  </si>
  <si>
    <t>(1)Capacitación en RM 186-2016-MEN/DM y uso de cal</t>
  </si>
  <si>
    <t>Parámetro</t>
  </si>
  <si>
    <t>Valor</t>
  </si>
  <si>
    <t>Unidad</t>
  </si>
  <si>
    <t>Comentario</t>
  </si>
  <si>
    <t>Crecimiento de demanda de energía:</t>
  </si>
  <si>
    <t>Porcentaje anual</t>
  </si>
  <si>
    <t>Porcentaje anual de crecimiento asumido en las NDC</t>
  </si>
  <si>
    <t>Factor de emisión CO2</t>
  </si>
  <si>
    <t>KgCO2/KWh</t>
  </si>
  <si>
    <t>Entidades de sector publico</t>
  </si>
  <si>
    <t>entidades</t>
  </si>
  <si>
    <t>Otros gastos de implementación</t>
  </si>
  <si>
    <t>porcentaje</t>
  </si>
  <si>
    <t>PES/auditoria</t>
  </si>
  <si>
    <t>MEF (50%)</t>
  </si>
  <si>
    <t>Se estima 4 funcionarios de las áreas involucradas.</t>
  </si>
  <si>
    <t>Número de entidades a hacer  auditoria energética</t>
  </si>
  <si>
    <t xml:space="preserve">Costo auditoria energética </t>
  </si>
  <si>
    <t>Aplicación de auditoria energética en Entidades Publicas</t>
  </si>
  <si>
    <t>Ministerio de Energía y Minas (100%)</t>
  </si>
  <si>
    <t xml:space="preserve">Cálculo de emisiones </t>
  </si>
  <si>
    <t>Energía reemplazada al 2030:</t>
  </si>
  <si>
    <t>MWh</t>
  </si>
  <si>
    <t>Medida de mitigación</t>
  </si>
  <si>
    <t>Descripción y Supuestos</t>
  </si>
  <si>
    <t>Alcance Geográfico</t>
  </si>
  <si>
    <t>Alcance sectorial 
 (Ambición de la medida)</t>
  </si>
  <si>
    <t>Implementación</t>
  </si>
  <si>
    <t>Tiempo de vida del panel:</t>
  </si>
  <si>
    <t>años</t>
  </si>
  <si>
    <t>PES/kit</t>
  </si>
  <si>
    <t>Costo actual de  energía</t>
  </si>
  <si>
    <t>Descripción</t>
  </si>
  <si>
    <t>Año</t>
  </si>
  <si>
    <t>Paneles del Kit</t>
  </si>
  <si>
    <t>Costo Medida</t>
  </si>
  <si>
    <t>Costo en escenario BAU</t>
  </si>
  <si>
    <t>Año (y)</t>
  </si>
  <si>
    <t>Tasa de descuento</t>
  </si>
  <si>
    <t>Incentivos</t>
  </si>
  <si>
    <t>Barreras a la implementación de la medida</t>
  </si>
  <si>
    <t>Entidad ejecutora de la medida</t>
  </si>
  <si>
    <t>Cobeneficios</t>
  </si>
  <si>
    <t>El precio de los kit solares. Para superar esto es necesaria la subvención de parte de los costos.</t>
  </si>
  <si>
    <t>Costo con la medida</t>
  </si>
  <si>
    <t>Costo  sin implementar la medida</t>
  </si>
  <si>
    <t>Potencial solar:</t>
  </si>
  <si>
    <t>Fuente: Primer párrafo , página 56.
 http://www.scielo.org.co/pdf/prosp/v13n2/v13n2a07.pdf</t>
  </si>
  <si>
    <t>Inflación promedio</t>
  </si>
  <si>
    <t>Porcentaje de actualización de valores futuros, tomado de las NDC</t>
  </si>
  <si>
    <t xml:space="preserve">Tipo de Cambio </t>
  </si>
  <si>
    <t>Factor</t>
  </si>
  <si>
    <t>Tipo de Cambio SBS ponderado 31-03-17, recuperado de: http://www.sbs.gob.pe/app/stats/tc-cv.asp</t>
  </si>
  <si>
    <t>Costo  de 1 KWh de energía (BAU)</t>
  </si>
  <si>
    <t>Costo de kit de panel Solar de 200W</t>
  </si>
  <si>
    <t>PES</t>
  </si>
  <si>
    <t>Crecimiento proyectado de la demanda:</t>
  </si>
  <si>
    <t>Reducción de emisiones:</t>
  </si>
  <si>
    <t>Año de implantación de la medida</t>
  </si>
  <si>
    <t>Comentario / supuesto</t>
  </si>
  <si>
    <t>(algún comentario o supuesto importante para este año y que afectaría las emisiones de GEI)</t>
  </si>
  <si>
    <t>TOTAL</t>
  </si>
  <si>
    <t>Total al 2030</t>
  </si>
  <si>
    <t>Promedio anual</t>
  </si>
  <si>
    <r>
      <t xml:space="preserve">Costo de Mitigación </t>
    </r>
    <r>
      <rPr>
        <sz val="10"/>
        <color rgb="FF0070C0"/>
        <rFont val="Garamond"/>
        <family val="1"/>
      </rPr>
      <t/>
    </r>
  </si>
  <si>
    <t>[PES/tCO2e]</t>
  </si>
  <si>
    <t>Energía a Generar y remplazar con los Kit</t>
  </si>
  <si>
    <t>TJ a Kwh</t>
  </si>
  <si>
    <t>Mwh a TJ</t>
  </si>
  <si>
    <t>PES/kWh</t>
  </si>
  <si>
    <t>Cada entidad pública / Gobierno Central</t>
  </si>
  <si>
    <t>· Ingreso de energía limpia producida en cada edificio propio, y mayor diversificación de la matriz energética.
· Reducción de Emisiones de GEI por la generación de energía.</t>
  </si>
  <si>
    <t>Factibilidad de la meta de 10%</t>
  </si>
  <si>
    <t>Instalación de paneles solares en edificios públicos</t>
  </si>
  <si>
    <t>Subastas de proyectos con este tipo de tecnología (para mejorar el precio de kits)
Realizar estudios de cuantificación de potencial eléctrico en cada edificio público (para definir las cantidades a implementar) 
Aplicación del D.L. Nº 1002, sobre la promoción de la inversión en recursos energéticos renovables (RER).</t>
  </si>
  <si>
    <t>Promedio de la inflación 2010 - 2015 tomado de http://www.bcrp.gob.pe/estadisticas/cuadros-anuales-historicos.html</t>
  </si>
  <si>
    <t>Dólares</t>
  </si>
  <si>
    <t>Cálculo de costos</t>
  </si>
  <si>
    <t>Costo actual de energía bajo uso de luminarias convencionales</t>
  </si>
  <si>
    <t>Escenario mínimo esperado:</t>
  </si>
  <si>
    <t>Sector</t>
  </si>
  <si>
    <t>Lámparas fluorescentes (Comercial)</t>
  </si>
  <si>
    <t>Comercial</t>
  </si>
  <si>
    <t>Luminarias en Residencial y Público: NDC (Informe de la Comisión Multisectorial). Disponible en: http://www.minam.gob.pe/wp-content/uploads/2015/12/Informe-T%C3%A9cnico-Final-CM-_-R-S-129-2015-PCM_Secretar%C3%ADa-T%C3%A9cnica-18-09-2015-vf.pdf</t>
  </si>
  <si>
    <t>Modelos propuestos</t>
  </si>
  <si>
    <t>Tipo de Luminaria</t>
  </si>
  <si>
    <t>Cantidad de luminarias</t>
  </si>
  <si>
    <t>Foco</t>
  </si>
  <si>
    <t>Fluorescente Lineal</t>
  </si>
  <si>
    <t>Nombre:</t>
  </si>
  <si>
    <t>AMS II.J: Demand-side activities for efficient lighting technologies v7.0</t>
  </si>
  <si>
    <t>Referencia:</t>
  </si>
  <si>
    <t>Línea base:</t>
  </si>
  <si>
    <t>Proyecto:</t>
  </si>
  <si>
    <t>Cambio de luminarias</t>
  </si>
  <si>
    <t>Cálculo:</t>
  </si>
  <si>
    <t>Pérdida anual de electricidad en la red (por transmisión y distribución)</t>
  </si>
  <si>
    <t>NTG</t>
  </si>
  <si>
    <t>factor de ajuste neto-a-bruto (0.95 por defecto)</t>
  </si>
  <si>
    <t>y</t>
  </si>
  <si>
    <t>Pérdida anual de electricidad en la red (por transmisión y distribución) (TDy)</t>
  </si>
  <si>
    <t>Factor de ajuste neto-a-bruto 
(NTG)</t>
  </si>
  <si>
    <t>Horas de uso de luminarias</t>
  </si>
  <si>
    <t>h/día</t>
  </si>
  <si>
    <t>Porcentaje gradual de implementación</t>
  </si>
  <si>
    <t>Fuente: Elaboración propia</t>
  </si>
  <si>
    <t>Reducción de emisiones - resumen</t>
  </si>
  <si>
    <t xml:space="preserve"> </t>
  </si>
  <si>
    <t>Reemplazo de luminarias por LEDs en edificios del sector público</t>
  </si>
  <si>
    <t>Lámparas CFL</t>
  </si>
  <si>
    <t>Se considera en promedio</t>
  </si>
  <si>
    <t>Servicios</t>
  </si>
  <si>
    <t>2: Tomado de http://gpperu.com/producto/ledtb283522w/tubo-led-22w-4000k-535mm</t>
  </si>
  <si>
    <t>Edificios públicos en todos los departamentos.</t>
  </si>
  <si>
    <t>Días de funcionamiento al año de termas solares</t>
  </si>
  <si>
    <t>Días de funcionamiento al año de termas eléctricas</t>
  </si>
  <si>
    <t>Horas estimadas de funcionamiento de termas eléctricas en 180 días de temporada nublada</t>
  </si>
  <si>
    <t>Horas estimadas de funcionamiento de termas eléctricas en 180 días de temporada con brillo solar</t>
  </si>
  <si>
    <t>Datos generales de calentadores solares</t>
  </si>
  <si>
    <t>Termas a remplazar</t>
  </si>
  <si>
    <t>Presupuesto de la Institución  (50%)</t>
  </si>
  <si>
    <t>Otros</t>
  </si>
  <si>
    <t>Medida 2.- Auditoría energética</t>
  </si>
  <si>
    <t>Medida 1.- Aplicación de RM 186-2016-MEN/DM</t>
  </si>
  <si>
    <t>Edificios públicos propios y alquilados</t>
  </si>
  <si>
    <t>Luminarias en el sector Comercial: Plan Energético Nacional 2014-2025. Disponible en: http://www.minem.gob.pe/_publicacion.php?idSector=10&amp;idPublicacion=489</t>
  </si>
  <si>
    <t>Balance Nacional de Energía Útil 2013. Disponible en: http://www.minem.gob.pe/_publicacion.php?idSector=12&amp;idPublicacion=540</t>
  </si>
  <si>
    <t>(Pi, BL −  Pi, PJ) × Oi ×  365 / 1000</t>
  </si>
  <si>
    <t>Subastas de proyectos con este tipo de tecnología. 
Aplicación del Plan energético Nacional
Campañas de divulgación permanente.</t>
  </si>
  <si>
    <t xml:space="preserve">Precios altos de tecnologías LED. Podría ser necesaria la subvención. </t>
  </si>
  <si>
    <t xml:space="preserve">- Ahorros en la factura de electricidad y un uso eficiente del recurso energético.
- Reducción de Emisiones de GEI por uso de lámparas ecoamigables.
- Uso eficiente del recurso energético
</t>
  </si>
  <si>
    <t xml:space="preserve">Reemplazo de Termas tradicionales por calentadores solares </t>
  </si>
  <si>
    <t>Termas eléctricas</t>
  </si>
  <si>
    <t>Termas eléctricas a remplazar: NDC (Informe de la Comisión Multisectorial). Disponible en: http://www.minam.gob.pe/wp-content/uploads/2015/12/Informe-T%C3%A9cnico-Final-CM-_-R-S-129-2015-PCM_Secretar%C3%ADa-T%C3%A9cnica-18-09-2015-vf.pdf</t>
  </si>
  <si>
    <t xml:space="preserve">Precios altos de tecnologías de calentadores solares. Podría ser necesaria la subvención. </t>
  </si>
  <si>
    <t>Datos generales termas de uso actual</t>
  </si>
  <si>
    <t>Fuente NDC, Adaptado de: calentadores solares sector domiciliario</t>
  </si>
  <si>
    <t xml:space="preserve">TERMA ELÉCTRICA AUTOMÁTICA 400 Litros “HOT MASTER®” Distribuido por Velt S.A.C.  RUC 20512478680
</t>
  </si>
  <si>
    <t>Calentador solar de 400 litros con 40 tubos al vacío, Distribuido por Importaciones Líder RUC 20601344026, Web: www.fotovoltaicosperu.com</t>
  </si>
  <si>
    <t>Total Implementación Auditoria</t>
  </si>
  <si>
    <t>Ratio de asistencia al taller</t>
  </si>
  <si>
    <t>En base a costo de la consultora por realizar este servicio</t>
  </si>
  <si>
    <t>PES/participante</t>
  </si>
  <si>
    <t>Sector público</t>
  </si>
  <si>
    <t>Funcionarios del sector público</t>
  </si>
  <si>
    <t>Capacitar al menos a 4 funcionarios de cada institución pública.</t>
  </si>
  <si>
    <t>Funcionarios a capacitar</t>
  </si>
  <si>
    <t>N° de funcionarios a capacitar</t>
  </si>
  <si>
    <t>De acuerdo a costos de la consultora ALWA.</t>
  </si>
  <si>
    <t>Total horas por taller</t>
  </si>
  <si>
    <t>Horas estimadas de duración del taller por la consultora ALWA</t>
  </si>
  <si>
    <t>Detalle</t>
  </si>
  <si>
    <t>Participantes por taller</t>
  </si>
  <si>
    <t>participantes</t>
  </si>
  <si>
    <t>Costo estimado en base a experiencia de la consultora ALWA</t>
  </si>
  <si>
    <t xml:space="preserve">Coffe Break </t>
  </si>
  <si>
    <t>Equipos y soporte*</t>
  </si>
  <si>
    <t>Alquiler de locales*</t>
  </si>
  <si>
    <t>Alquiler de equipos*</t>
  </si>
  <si>
    <t>10% del costo total, estimado para invitados de otras locaciones</t>
  </si>
  <si>
    <t>Coffe break</t>
  </si>
  <si>
    <t>Numero de funcionarios a ser capacitados</t>
  </si>
  <si>
    <t>funcionarios/entidad</t>
  </si>
  <si>
    <t>- 10% del costo del talle, estimado para imprevistos que tuvieran lugar
- Imprevisto del costo total de implementar la medida de mitigación.</t>
  </si>
  <si>
    <t>Costo de la medida</t>
  </si>
  <si>
    <t>N° de entidades a hacer auditoria</t>
  </si>
  <si>
    <t>Entidades del sector público</t>
  </si>
  <si>
    <t>En entidades que superen en su consumo de energía las 4 UIT</t>
  </si>
  <si>
    <t>Se prevé generar capacidades en funcionarios del sector público para la correcta aplicación de la RM en mención, además de generar capacidades en la calculadora desarrollada por la consultora</t>
  </si>
  <si>
    <t>De acuerdo a taller desarrollado por ALWA producto de la consultoría: 33 asistentes de 42 confirmados</t>
  </si>
  <si>
    <t>Viáticos</t>
  </si>
  <si>
    <t>Desarrollo de auditorias energéticas</t>
  </si>
  <si>
    <t>La medida contempla el desarrollo de la auditoria de energía en eficiencia energética para aquellas instituciones que superen las 4 UIT en sus consumos de energía por entidad</t>
  </si>
  <si>
    <t>Factor de emisión calculado por ALWA</t>
  </si>
  <si>
    <t xml:space="preserve">Costo US$/KWh promedio del sector "comercial y de servicios" , recuperado de http://www.minem.gob.pe/_estadistica.php?idSector=6&amp;idEstadistica=10179, Capitulo 2 estadísticas por regiones tabla 2.12.1  Precio Medio de energía eléctrica por Sectores Económicos </t>
  </si>
  <si>
    <t>US$/Kwh</t>
  </si>
  <si>
    <t xml:space="preserve">Edificios Públicos, cuyas entidades sobrepasen las 5UIT de pago mensual </t>
  </si>
  <si>
    <t>Entidades de sector publico
(muestra)</t>
  </si>
  <si>
    <t>Muestra de entidades evaluadas que pueden superar las 4 UIT.
Tomado de portal de transparencia del estado peruano, http://apps5.mineco.gob.pe/transparencia/Navegador/default.aspx?y=2016&amp;ap=ActProy</t>
  </si>
  <si>
    <t>Nivel de Gobierno</t>
  </si>
  <si>
    <t>Entidades que superan 4 UIT</t>
  </si>
  <si>
    <t xml:space="preserve">Fuente: Información tomada del gasto público en el pago de servicios, reucperada del portal de transparencia. 
         </t>
  </si>
  <si>
    <t xml:space="preserve">Entidades de sector publico
</t>
  </si>
  <si>
    <t>Tomado de: Estadísticas de personal del Estado Peruano 2007:
Resultados y análisis de consistencia de la
información, recuperado de: http://inst.servir.gob.pe/files/biblioteca/consultorias/Conterno%20-%20Informe%20Estadisticas%20Empleo.pdf</t>
  </si>
  <si>
    <t>Otros gastos de implementación (5%)</t>
  </si>
  <si>
    <t>Preparado para:</t>
  </si>
  <si>
    <t>Preparado por:</t>
  </si>
  <si>
    <t>Entidades con mayor probabilidad de tener consumo &gt; 4 UIT.
De acuerdo a resultados de M2</t>
  </si>
  <si>
    <t>En cada hoja puede remplazar las celdas marcadas como:</t>
  </si>
  <si>
    <t>Describe la medida a implementar, incluye los siguientes ítems:</t>
  </si>
  <si>
    <t>Describe las condiciones habilitantes, incentivos, beneficios y barreras para la implementación de las medidas.</t>
  </si>
  <si>
    <t>Son los resultados de los consumos de energía, y emisiones de gases de efecto invernadero del período en evaluación, tanto en el escenario BAU y el de mitigación, no disponible en M1 y M2.</t>
  </si>
  <si>
    <t>Cálculo de emisiones de GEI</t>
  </si>
  <si>
    <t>Describe información que sirve de insumo para el cálculo de las estimaciones, como: número de paneles, luminarias o calentadores.</t>
  </si>
  <si>
    <t>Describe los supuestos y la metodología  que usada en el cálculo de las emisiones de GEI. Además se incluye las fuentes de referencias que indiquen el origen y validez de los datos a ser utilizados.</t>
  </si>
  <si>
    <t>Recoge la información de los supuestos y otros datos adicionales en el Paso 2 de la sección "Calculo de emisiones de GEI"</t>
  </si>
  <si>
    <t>Son los resultados monetarios expresados en miles de Soles de la implementación de la medida. Se presentan para escenario BAU y para el escenario de implementación de la medida.</t>
  </si>
  <si>
    <r>
      <rPr>
        <i/>
        <sz val="12"/>
        <color rgb="FFC00000"/>
        <rFont val="Arial Narrow"/>
        <family val="2"/>
      </rPr>
      <t>Instrucciones:</t>
    </r>
    <r>
      <rPr>
        <i/>
        <sz val="12"/>
        <color rgb="FF0070C0"/>
        <rFont val="Arial Narrow"/>
        <family val="2"/>
      </rPr>
      <t xml:space="preserve"> </t>
    </r>
  </si>
  <si>
    <r>
      <rPr>
        <b/>
        <sz val="10"/>
        <color theme="1"/>
        <rFont val="Arial Narrow"/>
        <family val="2"/>
      </rPr>
      <t>Contenido:</t>
    </r>
    <r>
      <rPr>
        <sz val="10"/>
        <color theme="1"/>
        <rFont val="Arial Narrow"/>
        <family val="2"/>
      </rPr>
      <t xml:space="preserve"> Cada hoja del archivo cuenta con dos secciones: </t>
    </r>
    <r>
      <rPr>
        <b/>
        <sz val="10"/>
        <color theme="5" tint="-0.249977111117893"/>
        <rFont val="Arial Narrow"/>
        <family val="2"/>
      </rPr>
      <t>Cálculo de emisiones de GEI</t>
    </r>
    <r>
      <rPr>
        <sz val="10"/>
        <color theme="1"/>
        <rFont val="Arial Narrow"/>
        <family val="2"/>
      </rPr>
      <t xml:space="preserve"> y </t>
    </r>
    <r>
      <rPr>
        <b/>
        <sz val="10"/>
        <color theme="5" tint="-0.249977111117893"/>
        <rFont val="Arial Narrow"/>
        <family val="2"/>
      </rPr>
      <t>Cálculo de costos</t>
    </r>
    <r>
      <rPr>
        <sz val="10"/>
        <color theme="1"/>
        <rFont val="Arial Narrow"/>
        <family val="2"/>
      </rPr>
      <t>, tal como se detalla:</t>
    </r>
  </si>
  <si>
    <r>
      <rPr>
        <b/>
        <u/>
        <sz val="10"/>
        <color rgb="FF0070C0"/>
        <rFont val="Arial Narrow"/>
        <family val="2"/>
      </rPr>
      <t>Paso 1</t>
    </r>
    <r>
      <rPr>
        <b/>
        <sz val="10"/>
        <color rgb="FF0070C0"/>
        <rFont val="Arial Narrow"/>
        <family val="2"/>
      </rPr>
      <t>: Descripción de la medida</t>
    </r>
  </si>
  <si>
    <r>
      <t>Paso 1</t>
    </r>
    <r>
      <rPr>
        <b/>
        <sz val="10"/>
        <color rgb="FF0070C0"/>
        <rFont val="Arial Narrow"/>
        <family val="2"/>
      </rPr>
      <t>: Datos base</t>
    </r>
  </si>
  <si>
    <r>
      <t xml:space="preserve">Esta sección </t>
    </r>
    <r>
      <rPr>
        <b/>
        <sz val="10"/>
        <color theme="5" tint="-0.249977111117893"/>
        <rFont val="Arial Narrow"/>
        <family val="2"/>
      </rPr>
      <t xml:space="preserve">no </t>
    </r>
    <r>
      <rPr>
        <sz val="10"/>
        <color theme="1"/>
        <rFont val="Arial Narrow"/>
        <family val="2"/>
      </rPr>
      <t>debe modificarse.</t>
    </r>
  </si>
  <si>
    <r>
      <t xml:space="preserve">Esta sección </t>
    </r>
    <r>
      <rPr>
        <b/>
        <sz val="10"/>
        <color theme="5" tint="-0.249977111117893"/>
        <rFont val="Arial Narrow"/>
        <family val="2"/>
      </rPr>
      <t xml:space="preserve">si puede </t>
    </r>
    <r>
      <rPr>
        <sz val="10"/>
        <color theme="1"/>
        <rFont val="Arial Narrow"/>
        <family val="2"/>
      </rPr>
      <t>modificarse.</t>
    </r>
  </si>
  <si>
    <r>
      <t>Paso 2</t>
    </r>
    <r>
      <rPr>
        <b/>
        <sz val="10"/>
        <color rgb="FF0070C0"/>
        <rFont val="Arial Narrow"/>
        <family val="2"/>
      </rPr>
      <t>: Datos base</t>
    </r>
  </si>
  <si>
    <r>
      <t>Paso 2</t>
    </r>
    <r>
      <rPr>
        <b/>
        <sz val="10"/>
        <color rgb="FF0070C0"/>
        <rFont val="Arial Narrow"/>
        <family val="2"/>
      </rPr>
      <t xml:space="preserve">: Determinación de los costos en los escenarios </t>
    </r>
    <r>
      <rPr>
        <sz val="10"/>
        <color theme="5" tint="-0.249977111117893"/>
        <rFont val="Arial Narrow"/>
        <family val="2"/>
      </rPr>
      <t>con</t>
    </r>
    <r>
      <rPr>
        <sz val="10"/>
        <color rgb="FFFFC000"/>
        <rFont val="Arial Narrow"/>
        <family val="2"/>
      </rPr>
      <t xml:space="preserve"> </t>
    </r>
    <r>
      <rPr>
        <b/>
        <sz val="10"/>
        <color rgb="FF0070C0"/>
        <rFont val="Arial Narrow"/>
        <family val="2"/>
      </rPr>
      <t xml:space="preserve">y </t>
    </r>
    <r>
      <rPr>
        <sz val="10"/>
        <color theme="5" tint="-0.249977111117893"/>
        <rFont val="Arial Narrow"/>
        <family val="2"/>
      </rPr>
      <t xml:space="preserve">sin </t>
    </r>
    <r>
      <rPr>
        <b/>
        <sz val="10"/>
        <color rgb="FF0070C0"/>
        <rFont val="Arial Narrow"/>
        <family val="2"/>
      </rPr>
      <t xml:space="preserve">medida </t>
    </r>
  </si>
  <si>
    <r>
      <t xml:space="preserve">Muestra el cálculo de los montos totales: inversión y costos, para cada uno de los escenarios: </t>
    </r>
    <r>
      <rPr>
        <b/>
        <sz val="10"/>
        <color theme="1"/>
        <rFont val="Arial Narrow"/>
        <family val="2"/>
      </rPr>
      <t xml:space="preserve">con </t>
    </r>
    <r>
      <rPr>
        <sz val="10"/>
        <color theme="1"/>
        <rFont val="Arial Narrow"/>
        <family val="2"/>
      </rPr>
      <t xml:space="preserve">medida (escenario del proyecto) y </t>
    </r>
    <r>
      <rPr>
        <b/>
        <sz val="10"/>
        <color theme="5" tint="-0.249977111117893"/>
        <rFont val="Arial Narrow"/>
        <family val="2"/>
      </rPr>
      <t xml:space="preserve">sin </t>
    </r>
    <r>
      <rPr>
        <sz val="10"/>
        <color theme="1"/>
        <rFont val="Arial Narrow"/>
        <family val="2"/>
      </rPr>
      <t>medida (escenario BAU).</t>
    </r>
  </si>
  <si>
    <r>
      <rPr>
        <b/>
        <u/>
        <sz val="10"/>
        <color rgb="FF0070C0"/>
        <rFont val="Arial Narrow"/>
        <family val="2"/>
      </rPr>
      <t>Paso 3</t>
    </r>
    <r>
      <rPr>
        <b/>
        <sz val="10"/>
        <color rgb="FF0070C0"/>
        <rFont val="Arial Narrow"/>
        <family val="2"/>
      </rPr>
      <t>: Supuestos</t>
    </r>
  </si>
  <si>
    <r>
      <rPr>
        <b/>
        <u/>
        <sz val="10"/>
        <color rgb="FF0070C0"/>
        <rFont val="Arial Narrow"/>
        <family val="2"/>
      </rPr>
      <t>Paso 4</t>
    </r>
    <r>
      <rPr>
        <b/>
        <sz val="10"/>
        <color rgb="FF0070C0"/>
        <rFont val="Arial Narrow"/>
        <family val="2"/>
      </rPr>
      <t>: Resultados</t>
    </r>
  </si>
  <si>
    <r>
      <t>Costos estimados de taller Auditoria Energética</t>
    </r>
    <r>
      <rPr>
        <b/>
        <vertAlign val="superscript"/>
        <sz val="10"/>
        <color theme="5"/>
        <rFont val="Arial Narrow"/>
        <family val="2"/>
      </rPr>
      <t>(1)</t>
    </r>
    <r>
      <rPr>
        <b/>
        <sz val="10"/>
        <color rgb="FF0070C0"/>
        <rFont val="Arial Narrow"/>
        <family val="2"/>
      </rPr>
      <t xml:space="preserve">. </t>
    </r>
  </si>
  <si>
    <r>
      <t xml:space="preserve">Total
</t>
    </r>
    <r>
      <rPr>
        <b/>
        <sz val="10"/>
        <color rgb="FF0070C0"/>
        <rFont val="Arial Narrow"/>
        <family val="2"/>
      </rPr>
      <t>[PES/taller]</t>
    </r>
  </si>
  <si>
    <r>
      <t xml:space="preserve">Costo de capacitación
</t>
    </r>
    <r>
      <rPr>
        <sz val="10"/>
        <color rgb="FF0070C0"/>
        <rFont val="Arial Narrow"/>
        <family val="2"/>
      </rPr>
      <t>[PES/participante]</t>
    </r>
  </si>
  <si>
    <r>
      <t xml:space="preserve">Total participantes por taller
</t>
    </r>
    <r>
      <rPr>
        <sz val="10"/>
        <color rgb="FF0070C0"/>
        <rFont val="Arial Narrow"/>
        <family val="2"/>
      </rPr>
      <t>[personas/taller]</t>
    </r>
  </si>
  <si>
    <r>
      <t xml:space="preserve">Total por participante
</t>
    </r>
    <r>
      <rPr>
        <b/>
        <sz val="10"/>
        <color rgb="FF0070C0"/>
        <rFont val="Arial Narrow"/>
        <family val="2"/>
      </rPr>
      <t>[PES/persona]</t>
    </r>
  </si>
  <si>
    <r>
      <t>Paso 2</t>
    </r>
    <r>
      <rPr>
        <b/>
        <sz val="10"/>
        <color rgb="FF0070C0"/>
        <rFont val="Arial Narrow"/>
        <family val="2"/>
      </rPr>
      <t>: Estimación de costos</t>
    </r>
    <r>
      <rPr>
        <b/>
        <sz val="10"/>
        <color theme="9" tint="-0.249977111117893"/>
        <rFont val="Arial Narrow"/>
        <family val="2"/>
      </rPr>
      <t xml:space="preserve"> </t>
    </r>
  </si>
  <si>
    <r>
      <t xml:space="preserve">Costos de preparación
</t>
    </r>
    <r>
      <rPr>
        <b/>
        <sz val="10"/>
        <color rgb="FF0070C0"/>
        <rFont val="Arial Narrow"/>
        <family val="2"/>
      </rPr>
      <t>[PES]</t>
    </r>
  </si>
  <si>
    <r>
      <t xml:space="preserve">Costo de auditoria
</t>
    </r>
    <r>
      <rPr>
        <sz val="10"/>
        <color rgb="FF0070C0"/>
        <rFont val="Arial Narrow"/>
        <family val="2"/>
      </rPr>
      <t>[PES/auditoria]</t>
    </r>
  </si>
  <si>
    <r>
      <rPr>
        <b/>
        <sz val="10"/>
        <color theme="1"/>
        <rFont val="Arial Narrow"/>
        <family val="2"/>
      </rPr>
      <t>Medida 2.-</t>
    </r>
    <r>
      <rPr>
        <sz val="10"/>
        <color theme="1"/>
        <rFont val="Arial Narrow"/>
        <family val="2"/>
      </rPr>
      <t xml:space="preserve"> Auditoría energética</t>
    </r>
  </si>
  <si>
    <t>Muestra de entidades evaluadas que pueden superar las 4 UIT.
Tomado de portal de transparencia del estado peruano, http://apps5.mineco.gob.pe/transparencia/Navegador/default.aspx?y=2016&amp;ap=ActProy
Muestra con un α = 6%  y e=6%, formula y calculos en libro: "Gasto de entidades publicas en energía"</t>
  </si>
  <si>
    <r>
      <t xml:space="preserve">Participacion
</t>
    </r>
    <r>
      <rPr>
        <sz val="10"/>
        <color rgb="FF0070C0"/>
        <rFont val="Arial Narrow"/>
        <family val="2"/>
      </rPr>
      <t>[%]</t>
    </r>
  </si>
  <si>
    <r>
      <t>Potencia</t>
    </r>
    <r>
      <rPr>
        <vertAlign val="superscript"/>
        <sz val="10"/>
        <color theme="5" tint="-0.249977111117893"/>
        <rFont val="Arial Narrow"/>
        <family val="2"/>
      </rPr>
      <t>1</t>
    </r>
    <r>
      <rPr>
        <sz val="10"/>
        <color theme="1"/>
        <rFont val="Arial Narrow"/>
        <family val="2"/>
      </rPr>
      <t xml:space="preserve"> 
</t>
    </r>
    <r>
      <rPr>
        <sz val="10"/>
        <color rgb="FF0070C0"/>
        <rFont val="Arial Narrow"/>
        <family val="2"/>
      </rPr>
      <t>[Wp/Unidad]</t>
    </r>
  </si>
  <si>
    <r>
      <t xml:space="preserve">Horas de Sol (8 am - 4 pm)
</t>
    </r>
    <r>
      <rPr>
        <sz val="10"/>
        <color rgb="FF0070C0"/>
        <rFont val="Arial Narrow"/>
        <family val="2"/>
      </rPr>
      <t>[h/día]</t>
    </r>
  </si>
  <si>
    <r>
      <t xml:space="preserve">Días al año
</t>
    </r>
    <r>
      <rPr>
        <sz val="10"/>
        <color rgb="FF0070C0"/>
        <rFont val="Arial Narrow"/>
        <family val="2"/>
      </rPr>
      <t>[día/año]</t>
    </r>
  </si>
  <si>
    <r>
      <t xml:space="preserve">Eficiencia del panel 
(por condiciones climáticas)
</t>
    </r>
    <r>
      <rPr>
        <sz val="10"/>
        <color rgb="FF0070C0"/>
        <rFont val="Arial Narrow"/>
        <family val="2"/>
      </rPr>
      <t>[%]</t>
    </r>
  </si>
  <si>
    <r>
      <t xml:space="preserve">Energía a remplazar
</t>
    </r>
    <r>
      <rPr>
        <sz val="10"/>
        <color rgb="FF0070C0"/>
        <rFont val="Arial Narrow"/>
        <family val="2"/>
      </rPr>
      <t>[KWh/año]</t>
    </r>
  </si>
  <si>
    <r>
      <t xml:space="preserve">Potencia 
</t>
    </r>
    <r>
      <rPr>
        <sz val="10"/>
        <color rgb="FF0070C0"/>
        <rFont val="Arial Narrow"/>
        <family val="2"/>
      </rPr>
      <t>[Wp]</t>
    </r>
  </si>
  <si>
    <r>
      <t xml:space="preserve">Factor conversión
</t>
    </r>
    <r>
      <rPr>
        <sz val="10"/>
        <color rgb="FF0070C0"/>
        <rFont val="Arial Narrow"/>
        <family val="2"/>
      </rPr>
      <t>[KWp/Wp]</t>
    </r>
  </si>
  <si>
    <r>
      <t xml:space="preserve">Kits para producir 1 MW
</t>
    </r>
    <r>
      <rPr>
        <sz val="10"/>
        <color rgb="FF0070C0"/>
        <rFont val="Arial Narrow"/>
        <family val="2"/>
      </rPr>
      <t>[Kits / MW]</t>
    </r>
  </si>
  <si>
    <r>
      <rPr>
        <sz val="10"/>
        <color theme="5" tint="-0.249977111117893"/>
        <rFont val="Arial Narrow"/>
        <family val="2"/>
      </rPr>
      <t xml:space="preserve">1 </t>
    </r>
    <r>
      <rPr>
        <sz val="10"/>
        <color theme="1"/>
        <rFont val="Arial Narrow"/>
        <family val="2"/>
      </rPr>
      <t>Fuente:</t>
    </r>
    <r>
      <rPr>
        <sz val="10"/>
        <rFont val="Arial Narrow"/>
        <family val="2"/>
      </rPr>
      <t xml:space="preserve"> http://www.panelsolarperu.com/productos/26-kit-solar-peru-800w-casa-de-campo-luz-tv-dvd-portatil-mini-radio-inversor-onda-modificada.html</t>
    </r>
  </si>
  <si>
    <r>
      <t xml:space="preserve">Fuente: </t>
    </r>
    <r>
      <rPr>
        <sz val="10"/>
        <color rgb="FF0070C0"/>
        <rFont val="Arial Narrow"/>
        <family val="2"/>
      </rPr>
      <t>http://www.panelsolarperu.com/productos/26-kit-solar-peru-800w-casa-de-campo-luz-tv-dvd-portatil-mini-radio-inversor-onda-modificada.html</t>
    </r>
  </si>
  <si>
    <r>
      <t>Paso 2</t>
    </r>
    <r>
      <rPr>
        <b/>
        <sz val="10"/>
        <color rgb="FF0070C0"/>
        <rFont val="Arial Narrow"/>
        <family val="2"/>
      </rPr>
      <t>: Determinación de costo de escenario y del BAU</t>
    </r>
  </si>
  <si>
    <r>
      <t xml:space="preserve">Instalación gradual
</t>
    </r>
    <r>
      <rPr>
        <sz val="10"/>
        <color rgb="FF0070C0"/>
        <rFont val="Arial Narrow"/>
        <family val="2"/>
      </rPr>
      <t>[Kits/año/edificio]</t>
    </r>
  </si>
  <si>
    <r>
      <t xml:space="preserve">Energía
</t>
    </r>
    <r>
      <rPr>
        <sz val="10"/>
        <color rgb="FF0070C0"/>
        <rFont val="Arial Narrow"/>
        <family val="2"/>
      </rPr>
      <t>[TJ]</t>
    </r>
  </si>
  <si>
    <r>
      <t xml:space="preserve">Emisiones
</t>
    </r>
    <r>
      <rPr>
        <sz val="10"/>
        <color rgb="FF0070C0"/>
        <rFont val="Arial Narrow"/>
        <family val="2"/>
      </rPr>
      <t>[tCO</t>
    </r>
    <r>
      <rPr>
        <vertAlign val="subscript"/>
        <sz val="10"/>
        <color rgb="FF0070C0"/>
        <rFont val="Arial Narrow"/>
        <family val="2"/>
      </rPr>
      <t>2</t>
    </r>
    <r>
      <rPr>
        <sz val="10"/>
        <color rgb="FF0070C0"/>
        <rFont val="Arial Narrow"/>
        <family val="2"/>
      </rPr>
      <t>e]</t>
    </r>
  </si>
  <si>
    <r>
      <t xml:space="preserve">Total por año
</t>
    </r>
    <r>
      <rPr>
        <sz val="10"/>
        <color rgb="FF0070C0"/>
        <rFont val="Arial Narrow"/>
        <family val="2"/>
      </rPr>
      <t>[miles Soles]</t>
    </r>
  </si>
  <si>
    <r>
      <t xml:space="preserve">Costo energía
</t>
    </r>
    <r>
      <rPr>
        <sz val="10"/>
        <color rgb="FF0070C0"/>
        <rFont val="Arial Narrow"/>
        <family val="2"/>
      </rPr>
      <t>[PES / KWh]</t>
    </r>
  </si>
  <si>
    <r>
      <t xml:space="preserve">Costo generacion de energía
</t>
    </r>
    <r>
      <rPr>
        <sz val="10"/>
        <color rgb="FF0070C0"/>
        <rFont val="Arial Narrow"/>
        <family val="2"/>
      </rPr>
      <t>[PES / KWh]</t>
    </r>
  </si>
  <si>
    <r>
      <t xml:space="preserve">Remplazo de energía
</t>
    </r>
    <r>
      <rPr>
        <sz val="10"/>
        <color rgb="FF0070C0"/>
        <rFont val="Arial Narrow"/>
        <family val="2"/>
      </rPr>
      <t>[KWh/año]</t>
    </r>
  </si>
  <si>
    <r>
      <t>KWh/m</t>
    </r>
    <r>
      <rPr>
        <vertAlign val="superscript"/>
        <sz val="10"/>
        <color theme="1"/>
        <rFont val="Arial Narrow"/>
        <family val="2"/>
      </rPr>
      <t>2</t>
    </r>
  </si>
  <si>
    <r>
      <t>En países como Alemania, España y México</t>
    </r>
    <r>
      <rPr>
        <sz val="10"/>
        <color theme="9" tint="-0.249977111117893"/>
        <rFont val="Arial Narrow"/>
        <family val="2"/>
      </rPr>
      <t xml:space="preserve"> se genera desde 2 y 3 KWh/m</t>
    </r>
    <r>
      <rPr>
        <vertAlign val="superscript"/>
        <sz val="10"/>
        <color theme="9" tint="-0.249977111117893"/>
        <rFont val="Arial Narrow"/>
        <family val="2"/>
      </rPr>
      <t>2</t>
    </r>
  </si>
  <si>
    <r>
      <rPr>
        <b/>
        <u/>
        <sz val="10"/>
        <color rgb="FF0070C0"/>
        <rFont val="Arial Narrow"/>
        <family val="2"/>
      </rPr>
      <t>Paso 3</t>
    </r>
    <r>
      <rPr>
        <b/>
        <sz val="10"/>
        <color rgb="FF0070C0"/>
        <rFont val="Arial Narrow"/>
        <family val="2"/>
      </rPr>
      <t>: Supuestos/condiciones</t>
    </r>
  </si>
  <si>
    <r>
      <t xml:space="preserve">Costo de Kit solar incluye: 2 Panel solar fotovoltaico 100W 12V, Inversor de onda modificada HAMI SOLAR 600W (pico 1200W), Batería de solar descarga profunda 150Ah, accesorios (cableado, conectores, cable y conectores de batería, etc.) Instrucciones de montaje. recuperado de: </t>
    </r>
    <r>
      <rPr>
        <sz val="10"/>
        <color rgb="FF0070C0"/>
        <rFont val="Arial Narrow"/>
        <family val="2"/>
      </rPr>
      <t>http://www.panelsolarperu.com/productos/26-kit-solar-peru-800w-casa-de-campo-luz-tv-dvd-portatil-mini-radio-inversor-onda-modificada.html</t>
    </r>
  </si>
  <si>
    <r>
      <t xml:space="preserve">Emisiones de GEI, </t>
    </r>
    <r>
      <rPr>
        <b/>
        <u/>
        <sz val="10"/>
        <rFont val="Arial Narrow"/>
        <family val="2"/>
      </rPr>
      <t>con</t>
    </r>
    <r>
      <rPr>
        <sz val="10"/>
        <rFont val="Arial Narrow"/>
        <family val="2"/>
      </rPr>
      <t xml:space="preserve"> la implementación de la medida</t>
    </r>
  </si>
  <si>
    <r>
      <t xml:space="preserve">Emisiones de GEI, </t>
    </r>
    <r>
      <rPr>
        <b/>
        <u/>
        <sz val="10"/>
        <rFont val="Arial Narrow"/>
        <family val="2"/>
      </rPr>
      <t>sin</t>
    </r>
    <r>
      <rPr>
        <sz val="10"/>
        <rFont val="Arial Narrow"/>
        <family val="2"/>
      </rPr>
      <t xml:space="preserve"> la implementación de la medida</t>
    </r>
  </si>
  <si>
    <r>
      <t xml:space="preserve">Nivel de actividad
</t>
    </r>
    <r>
      <rPr>
        <sz val="10"/>
        <color rgb="FF0070C0"/>
        <rFont val="Arial Narrow"/>
        <family val="2"/>
      </rPr>
      <t>[ TJ</t>
    </r>
    <r>
      <rPr>
        <i/>
        <sz val="10"/>
        <color rgb="FF0070C0"/>
        <rFont val="Arial Narrow"/>
        <family val="2"/>
      </rPr>
      <t xml:space="preserve"> </t>
    </r>
    <r>
      <rPr>
        <sz val="10"/>
        <color rgb="FF0070C0"/>
        <rFont val="Arial Narrow"/>
        <family val="2"/>
      </rPr>
      <t>]</t>
    </r>
  </si>
  <si>
    <r>
      <t xml:space="preserve">Emisiones de GEI
</t>
    </r>
    <r>
      <rPr>
        <sz val="10"/>
        <color rgb="FF0070C0"/>
        <rFont val="Arial Narrow"/>
        <family val="2"/>
      </rPr>
      <t>[ tCO</t>
    </r>
    <r>
      <rPr>
        <vertAlign val="subscript"/>
        <sz val="10"/>
        <color rgb="FF0070C0"/>
        <rFont val="Arial Narrow"/>
        <family val="2"/>
      </rPr>
      <t>2</t>
    </r>
    <r>
      <rPr>
        <sz val="10"/>
        <color rgb="FF0070C0"/>
        <rFont val="Arial Narrow"/>
        <family val="2"/>
      </rPr>
      <t>e / año]</t>
    </r>
  </si>
  <si>
    <r>
      <t xml:space="preserve">(indicar el consumo de la fuente </t>
    </r>
    <r>
      <rPr>
        <b/>
        <sz val="10"/>
        <color theme="9" tint="-0.499984740745262"/>
        <rFont val="Arial Narrow"/>
        <family val="2"/>
      </rPr>
      <t xml:space="preserve">CON </t>
    </r>
    <r>
      <rPr>
        <sz val="10"/>
        <color theme="9" tint="-0.499984740745262"/>
        <rFont val="Arial Narrow"/>
        <family val="2"/>
      </rPr>
      <t>la implementación de la medida)</t>
    </r>
  </si>
  <si>
    <r>
      <t xml:space="preserve">(indicar emisiones de GEI estimadas para este año </t>
    </r>
    <r>
      <rPr>
        <b/>
        <sz val="10"/>
        <color theme="9" tint="-0.499984740745262"/>
        <rFont val="Arial Narrow"/>
        <family val="2"/>
      </rPr>
      <t xml:space="preserve">CON </t>
    </r>
    <r>
      <rPr>
        <sz val="10"/>
        <color theme="9" tint="-0.499984740745262"/>
        <rFont val="Arial Narrow"/>
        <family val="2"/>
      </rPr>
      <t>la implementación de la medida)</t>
    </r>
  </si>
  <si>
    <r>
      <t xml:space="preserve">(indicar el consumo de la fuente </t>
    </r>
    <r>
      <rPr>
        <b/>
        <sz val="10"/>
        <color theme="9" tint="-0.499984740745262"/>
        <rFont val="Arial Narrow"/>
        <family val="2"/>
      </rPr>
      <t xml:space="preserve">SIN </t>
    </r>
    <r>
      <rPr>
        <sz val="10"/>
        <color theme="9" tint="-0.499984740745262"/>
        <rFont val="Arial Narrow"/>
        <family val="2"/>
      </rPr>
      <t>la implementación de la medida)</t>
    </r>
  </si>
  <si>
    <r>
      <t xml:space="preserve">(indicar las emisiones de GEI estimadas para este año </t>
    </r>
    <r>
      <rPr>
        <b/>
        <sz val="10"/>
        <color theme="9" tint="-0.499984740745262"/>
        <rFont val="Arial Narrow"/>
        <family val="2"/>
      </rPr>
      <t xml:space="preserve">SIN </t>
    </r>
    <r>
      <rPr>
        <sz val="10"/>
        <color theme="9" tint="-0.499984740745262"/>
        <rFont val="Arial Narrow"/>
        <family val="2"/>
      </rPr>
      <t>la implementación de la medida)</t>
    </r>
  </si>
  <si>
    <r>
      <t xml:space="preserve">Reducción 
</t>
    </r>
    <r>
      <rPr>
        <sz val="9"/>
        <color rgb="FF0070C0"/>
        <rFont val="Arial Narrow"/>
        <family val="2"/>
      </rPr>
      <t>[tCO</t>
    </r>
    <r>
      <rPr>
        <vertAlign val="subscript"/>
        <sz val="9"/>
        <color rgb="FF0070C0"/>
        <rFont val="Arial Narrow"/>
        <family val="2"/>
      </rPr>
      <t>2</t>
    </r>
    <r>
      <rPr>
        <sz val="9"/>
        <color rgb="FF0070C0"/>
        <rFont val="Arial Narrow"/>
        <family val="2"/>
      </rPr>
      <t>e]</t>
    </r>
  </si>
  <si>
    <r>
      <t>Costo energía comercial y de servicios</t>
    </r>
    <r>
      <rPr>
        <b/>
        <vertAlign val="superscript"/>
        <sz val="10"/>
        <color theme="9" tint="-0.249977111117893"/>
        <rFont val="Arial Narrow"/>
        <family val="2"/>
      </rPr>
      <t>1</t>
    </r>
    <r>
      <rPr>
        <b/>
        <sz val="10"/>
        <rFont val="Arial Narrow"/>
        <family val="2"/>
      </rPr>
      <t xml:space="preserve">
</t>
    </r>
    <r>
      <rPr>
        <sz val="10"/>
        <color rgb="FF0070C0"/>
        <rFont val="Arial Narrow"/>
        <family val="2"/>
      </rPr>
      <t>[USD/KWh]</t>
    </r>
  </si>
  <si>
    <r>
      <t xml:space="preserve">Comercial y servicios
</t>
    </r>
    <r>
      <rPr>
        <sz val="10"/>
        <color rgb="FF0070C0"/>
        <rFont val="Arial Narrow"/>
        <family val="2"/>
      </rPr>
      <t>[PES /KWh]</t>
    </r>
  </si>
  <si>
    <r>
      <t>Costo energía Residencial</t>
    </r>
    <r>
      <rPr>
        <vertAlign val="superscript"/>
        <sz val="10"/>
        <color theme="9" tint="-0.249977111117893"/>
        <rFont val="Arial Narrow"/>
        <family val="2"/>
      </rPr>
      <t>2</t>
    </r>
    <r>
      <rPr>
        <sz val="10"/>
        <color theme="1"/>
        <rFont val="Arial Narrow"/>
        <family val="2"/>
      </rPr>
      <t xml:space="preserve">
</t>
    </r>
    <r>
      <rPr>
        <sz val="10"/>
        <color rgb="FF0070C0"/>
        <rFont val="Arial Narrow"/>
        <family val="2"/>
      </rPr>
      <t>[USD/Kwh]</t>
    </r>
  </si>
  <si>
    <r>
      <t xml:space="preserve">Residencial
</t>
    </r>
    <r>
      <rPr>
        <sz val="10"/>
        <color rgb="FF0070C0"/>
        <rFont val="Arial Narrow"/>
        <family val="2"/>
      </rPr>
      <t>[PES /KWh]</t>
    </r>
  </si>
  <si>
    <r>
      <t>TC</t>
    </r>
    <r>
      <rPr>
        <vertAlign val="superscript"/>
        <sz val="11"/>
        <color theme="9" tint="-0.249977111117893"/>
        <rFont val="Arial Narrow"/>
        <family val="2"/>
      </rPr>
      <t>1</t>
    </r>
    <r>
      <rPr>
        <sz val="10"/>
        <rFont val="Arial Narrow"/>
        <family val="2"/>
      </rPr>
      <t xml:space="preserve">: </t>
    </r>
  </si>
  <si>
    <r>
      <t xml:space="preserve">Costo de energía </t>
    </r>
    <r>
      <rPr>
        <vertAlign val="superscript"/>
        <sz val="10"/>
        <color theme="9" tint="-0.249977111117893"/>
        <rFont val="Arial Narrow"/>
        <family val="2"/>
      </rPr>
      <t>2</t>
    </r>
  </si>
  <si>
    <r>
      <rPr>
        <sz val="10"/>
        <color theme="9" tint="-0.249977111117893"/>
        <rFont val="Arial Narrow"/>
        <family val="2"/>
      </rPr>
      <t>1</t>
    </r>
    <r>
      <rPr>
        <sz val="10"/>
        <color theme="1"/>
        <rFont val="Arial Narrow"/>
        <family val="2"/>
      </rPr>
      <t>. Tipo de Cambio SBS ponderado 31-03-17, recuperado de: http://www.sbs.gob.pe/app/stats/tc-cv.asp</t>
    </r>
  </si>
  <si>
    <r>
      <rPr>
        <sz val="11"/>
        <color theme="9" tint="-0.249977111117893"/>
        <rFont val="Arial Narrow"/>
        <family val="2"/>
      </rPr>
      <t>2</t>
    </r>
    <r>
      <rPr>
        <sz val="10"/>
        <color theme="1"/>
        <rFont val="Arial Narrow"/>
        <family val="2"/>
      </rPr>
      <t xml:space="preserve"> Anuarios estadístico de electricidad. Capitulo 2 estadísticas por regiones tabla 2.12.1. Recuperado de http://www.minem.gob.pe/_estadistica.php?idSector=6&amp;idEstadistica=8599</t>
    </r>
  </si>
  <si>
    <r>
      <rPr>
        <b/>
        <u/>
        <sz val="10"/>
        <color rgb="FF0070C0"/>
        <rFont val="Arial Narrow"/>
        <family val="2"/>
      </rPr>
      <t>Paso 2</t>
    </r>
    <r>
      <rPr>
        <b/>
        <sz val="10"/>
        <color rgb="FF0070C0"/>
        <rFont val="Arial Narrow"/>
        <family val="2"/>
      </rPr>
      <t>: Datos base</t>
    </r>
  </si>
  <si>
    <r>
      <t>Costo en el escenario BAU (</t>
    </r>
    <r>
      <rPr>
        <sz val="10"/>
        <color theme="9" tint="-0.249977111117893"/>
        <rFont val="Arial Narrow"/>
        <family val="2"/>
      </rPr>
      <t xml:space="preserve">sin </t>
    </r>
    <r>
      <rPr>
        <sz val="10"/>
        <color theme="1"/>
        <rFont val="Arial Narrow"/>
        <family val="2"/>
      </rPr>
      <t>medida)</t>
    </r>
  </si>
  <si>
    <r>
      <t>Tipo  de luminaria
(</t>
    </r>
    <r>
      <rPr>
        <i/>
        <sz val="11"/>
        <color theme="1"/>
        <rFont val="Arial Narrow"/>
        <family val="2"/>
      </rPr>
      <t>i</t>
    </r>
    <r>
      <rPr>
        <sz val="10"/>
        <color theme="1"/>
        <rFont val="Arial Narrow"/>
        <family val="2"/>
      </rPr>
      <t>)</t>
    </r>
  </si>
  <si>
    <r>
      <t>Cantidad de luminarias nacional</t>
    </r>
    <r>
      <rPr>
        <vertAlign val="superscript"/>
        <sz val="11"/>
        <color theme="9" tint="-0.249977111117893"/>
        <rFont val="Arial Narrow"/>
        <family val="2"/>
      </rPr>
      <t>1, 2</t>
    </r>
  </si>
  <si>
    <r>
      <t>Porcentaje de participación NDC</t>
    </r>
    <r>
      <rPr>
        <vertAlign val="superscript"/>
        <sz val="10"/>
        <color theme="9" tint="-0.249977111117893"/>
        <rFont val="Arial Narrow"/>
        <family val="2"/>
      </rPr>
      <t xml:space="preserve"> </t>
    </r>
    <r>
      <rPr>
        <sz val="10"/>
        <rFont val="Arial Narrow"/>
        <family val="2"/>
      </rPr>
      <t>por edificio</t>
    </r>
  </si>
  <si>
    <r>
      <t xml:space="preserve">Potencia actual </t>
    </r>
    <r>
      <rPr>
        <sz val="10"/>
        <color rgb="FF0070C0"/>
        <rFont val="Arial Narrow"/>
        <family val="2"/>
      </rPr>
      <t xml:space="preserve"> 
[W]</t>
    </r>
  </si>
  <si>
    <r>
      <t>Potencia con reemplazo</t>
    </r>
    <r>
      <rPr>
        <sz val="10"/>
        <color rgb="FF0070C0"/>
        <rFont val="Arial Narrow"/>
        <family val="2"/>
      </rPr>
      <t xml:space="preserve"> 
[W]</t>
    </r>
  </si>
  <si>
    <r>
      <t xml:space="preserve">Potencias actual </t>
    </r>
    <r>
      <rPr>
        <sz val="10"/>
        <color theme="1"/>
        <rFont val="Arial Narrow"/>
        <family val="2"/>
      </rPr>
      <t>(línea base)</t>
    </r>
    <r>
      <rPr>
        <b/>
        <sz val="10"/>
        <color theme="1"/>
        <rFont val="Arial Narrow"/>
        <family val="2"/>
      </rPr>
      <t xml:space="preserve">
</t>
    </r>
    <r>
      <rPr>
        <sz val="10"/>
        <color rgb="FF0070C0"/>
        <rFont val="Arial Narrow"/>
        <family val="2"/>
      </rPr>
      <t>[W]</t>
    </r>
  </si>
  <si>
    <r>
      <t xml:space="preserve">Horas de uso
</t>
    </r>
    <r>
      <rPr>
        <sz val="10"/>
        <color rgb="FF0070C0"/>
        <rFont val="Arial Narrow"/>
        <family val="2"/>
      </rPr>
      <t>[h/día]</t>
    </r>
  </si>
  <si>
    <r>
      <t xml:space="preserve">Consumo actual
</t>
    </r>
    <r>
      <rPr>
        <sz val="10"/>
        <color rgb="FF0070C0"/>
        <rFont val="Arial Narrow"/>
        <family val="2"/>
      </rPr>
      <t>[MWh]</t>
    </r>
  </si>
  <si>
    <r>
      <t xml:space="preserve">Costo por consumo
</t>
    </r>
    <r>
      <rPr>
        <sz val="10"/>
        <color rgb="FF0070C0"/>
        <rFont val="Arial Narrow"/>
        <family val="2"/>
      </rPr>
      <t>[PES]</t>
    </r>
  </si>
  <si>
    <r>
      <t>Costo por luminaria actuales</t>
    </r>
    <r>
      <rPr>
        <b/>
        <vertAlign val="superscript"/>
        <sz val="11"/>
        <color theme="9" tint="-0.249977111117893"/>
        <rFont val="Arial Narrow"/>
        <family val="2"/>
      </rPr>
      <t xml:space="preserve">1,2
</t>
    </r>
    <r>
      <rPr>
        <sz val="11"/>
        <color rgb="FF0070C0"/>
        <rFont val="Arial Narrow"/>
        <family val="2"/>
      </rPr>
      <t>[PES]</t>
    </r>
  </si>
  <si>
    <r>
      <t xml:space="preserve">Costo de remplazo de luminarias
</t>
    </r>
    <r>
      <rPr>
        <sz val="10"/>
        <color rgb="FF0070C0"/>
        <rFont val="Arial Narrow"/>
        <family val="2"/>
      </rPr>
      <t>[PES]</t>
    </r>
  </si>
  <si>
    <r>
      <rPr>
        <sz val="10"/>
        <color theme="9" tint="0.39997558519241921"/>
        <rFont val="Arial Narrow"/>
        <family val="2"/>
      </rPr>
      <t>1</t>
    </r>
    <r>
      <rPr>
        <sz val="10"/>
        <color theme="1"/>
        <rFont val="Arial Narrow"/>
        <family val="2"/>
      </rPr>
      <t>: Foco ahorrador 20w, tomado de: http://www.promart.pe/foco-ahorrador-eco-twister-20w--e27-luz-calida/p</t>
    </r>
  </si>
  <si>
    <r>
      <rPr>
        <vertAlign val="superscript"/>
        <sz val="10"/>
        <color theme="9" tint="-0.249977111117893"/>
        <rFont val="Arial Narrow"/>
        <family val="2"/>
      </rPr>
      <t>1</t>
    </r>
    <r>
      <rPr>
        <sz val="10"/>
        <color theme="1"/>
        <rFont val="Arial Narrow"/>
        <family val="2"/>
      </rPr>
      <t>Fuente:</t>
    </r>
  </si>
  <si>
    <r>
      <rPr>
        <vertAlign val="superscript"/>
        <sz val="10"/>
        <color theme="9" tint="-0.249977111117893"/>
        <rFont val="Arial Narrow"/>
        <family val="2"/>
      </rPr>
      <t>2</t>
    </r>
    <r>
      <rPr>
        <sz val="10"/>
        <color theme="1"/>
        <rFont val="Arial Narrow"/>
        <family val="2"/>
      </rPr>
      <t>Fuente:</t>
    </r>
  </si>
  <si>
    <r>
      <t>Costo de implementar medida (</t>
    </r>
    <r>
      <rPr>
        <sz val="10"/>
        <color theme="9" tint="-0.249977111117893"/>
        <rFont val="Arial Narrow"/>
        <family val="2"/>
      </rPr>
      <t xml:space="preserve">con </t>
    </r>
    <r>
      <rPr>
        <sz val="10"/>
        <color theme="1"/>
        <rFont val="Arial Narrow"/>
        <family val="2"/>
      </rPr>
      <t>medida)</t>
    </r>
  </si>
  <si>
    <r>
      <t>Costo por luminaria1</t>
    </r>
    <r>
      <rPr>
        <b/>
        <vertAlign val="superscript"/>
        <sz val="11"/>
        <color theme="9" tint="-0.249977111117893"/>
        <rFont val="Arial Narrow"/>
        <family val="2"/>
      </rPr>
      <t xml:space="preserve">,2
</t>
    </r>
    <r>
      <rPr>
        <sz val="11"/>
        <color rgb="FF0070C0"/>
        <rFont val="Arial Narrow"/>
        <family val="2"/>
      </rPr>
      <t>[PES]</t>
    </r>
  </si>
  <si>
    <r>
      <t xml:space="preserve">Costo compra de luminarias
</t>
    </r>
    <r>
      <rPr>
        <sz val="10"/>
        <color rgb="FF0070C0"/>
        <rFont val="Arial Narrow"/>
        <family val="2"/>
      </rPr>
      <t>[PES]</t>
    </r>
  </si>
  <si>
    <r>
      <t>Foco led 12w e27 lf dk</t>
    </r>
    <r>
      <rPr>
        <vertAlign val="superscript"/>
        <sz val="10"/>
        <color theme="9" tint="0.39994506668294322"/>
        <rFont val="Arial Narrow"/>
        <family val="2"/>
      </rPr>
      <t>1</t>
    </r>
  </si>
  <si>
    <r>
      <t>Tubo Led 22w 4000k 535mm</t>
    </r>
    <r>
      <rPr>
        <vertAlign val="superscript"/>
        <sz val="10"/>
        <color theme="9" tint="0.39994506668294322"/>
        <rFont val="Arial Narrow"/>
        <family val="2"/>
      </rPr>
      <t>3</t>
    </r>
  </si>
  <si>
    <r>
      <t xml:space="preserve">Metodología MDL. Disponible en: 
</t>
    </r>
    <r>
      <rPr>
        <sz val="10"/>
        <color rgb="FF0070C0"/>
        <rFont val="Arial Narrow"/>
        <family val="2"/>
      </rPr>
      <t xml:space="preserve">https://cdm.unfccc.int/methodologies/DB/GIIF3094709KR4YEEJXX72UY39L6Y4 </t>
    </r>
  </si>
  <si>
    <r>
      <rPr>
        <sz val="10"/>
        <color theme="9" tint="0.39997558519241921"/>
        <rFont val="Arial Narrow"/>
        <family val="2"/>
      </rPr>
      <t>1</t>
    </r>
    <r>
      <rPr>
        <sz val="10"/>
        <color theme="1"/>
        <rFont val="Arial Narrow"/>
        <family val="2"/>
      </rPr>
      <t>: Foco led 12w e27 lf dk, tomado de: http://www.maestro.com.pe/productos/iluminacion/foco-led-12w-e27-lf-dk1</t>
    </r>
  </si>
  <si>
    <r>
      <t xml:space="preserve">"the energy baseline is calculated based on </t>
    </r>
    <r>
      <rPr>
        <sz val="10"/>
        <color theme="9" tint="-0.249977111117893"/>
        <rFont val="Arial Narrow"/>
        <family val="2"/>
      </rPr>
      <t>annual electricity generation from project renewable energy technologies</t>
    </r>
    <r>
      <rPr>
        <sz val="10"/>
        <color theme="1"/>
        <rFont val="Arial Narrow"/>
        <family val="2"/>
      </rPr>
      <t>" Paragraph 8 (b), Page 4</t>
    </r>
  </si>
  <si>
    <r>
      <t xml:space="preserve">Gasto por consumo de energía </t>
    </r>
    <r>
      <rPr>
        <sz val="10"/>
        <color theme="5" tint="0.39997558519241921"/>
        <rFont val="Arial Narrow"/>
        <family val="2"/>
      </rPr>
      <t xml:space="preserve">con </t>
    </r>
    <r>
      <rPr>
        <sz val="10"/>
        <color theme="1"/>
        <rFont val="Arial Narrow"/>
        <family val="2"/>
      </rPr>
      <t xml:space="preserve">medida
</t>
    </r>
    <r>
      <rPr>
        <sz val="10"/>
        <color rgb="FF0070C0"/>
        <rFont val="Arial Narrow"/>
        <family val="2"/>
      </rPr>
      <t>[PES/año]</t>
    </r>
  </si>
  <si>
    <r>
      <t xml:space="preserve">Inversión LED
</t>
    </r>
    <r>
      <rPr>
        <sz val="10"/>
        <color rgb="FF0070C0"/>
        <rFont val="Arial Narrow"/>
        <family val="2"/>
      </rPr>
      <t>[PES]</t>
    </r>
  </si>
  <si>
    <r>
      <t xml:space="preserve">Total por año
</t>
    </r>
    <r>
      <rPr>
        <sz val="10"/>
        <color rgb="FF0070C0"/>
        <rFont val="Arial Narrow"/>
        <family val="2"/>
      </rPr>
      <t>[PES]</t>
    </r>
  </si>
  <si>
    <r>
      <t>(1)                                 NES</t>
    </r>
    <r>
      <rPr>
        <vertAlign val="subscript"/>
        <sz val="11"/>
        <color theme="1"/>
        <rFont val="Arial Narrow"/>
        <family val="2"/>
      </rPr>
      <t>y</t>
    </r>
    <r>
      <rPr>
        <sz val="11"/>
        <color theme="1"/>
        <rFont val="Arial Narrow"/>
        <family val="2"/>
      </rPr>
      <t xml:space="preserve"> =</t>
    </r>
  </si>
  <si>
    <r>
      <rPr>
        <i/>
        <vertAlign val="subscript"/>
        <sz val="12"/>
        <color theme="1"/>
        <rFont val="Arial Narrow"/>
        <family val="2"/>
      </rPr>
      <t>i</t>
    </r>
    <r>
      <rPr>
        <vertAlign val="subscript"/>
        <sz val="12"/>
        <color theme="1"/>
        <rFont val="Arial Narrow"/>
        <family val="2"/>
      </rPr>
      <t>=1</t>
    </r>
    <r>
      <rPr>
        <sz val="12"/>
        <color theme="1"/>
        <rFont val="Arial Narrow"/>
        <family val="2"/>
      </rPr>
      <t>∑</t>
    </r>
    <r>
      <rPr>
        <vertAlign val="superscript"/>
        <sz val="13.2"/>
        <color theme="1"/>
        <rFont val="Arial Narrow"/>
        <family val="2"/>
      </rPr>
      <t>n</t>
    </r>
    <r>
      <rPr>
        <sz val="12"/>
        <color theme="1"/>
        <rFont val="Arial Narrow"/>
        <family val="2"/>
      </rPr>
      <t>Q</t>
    </r>
    <r>
      <rPr>
        <vertAlign val="subscript"/>
        <sz val="12"/>
        <color theme="1"/>
        <rFont val="Arial Narrow"/>
        <family val="2"/>
      </rPr>
      <t>PJ,</t>
    </r>
    <r>
      <rPr>
        <i/>
        <vertAlign val="subscript"/>
        <sz val="12"/>
        <color theme="1"/>
        <rFont val="Arial Narrow"/>
        <family val="2"/>
      </rPr>
      <t>i</t>
    </r>
    <r>
      <rPr>
        <sz val="12"/>
        <color theme="1"/>
        <rFont val="Arial Narrow"/>
        <family val="2"/>
      </rPr>
      <t xml:space="preserve"> × (1 − LFR</t>
    </r>
    <r>
      <rPr>
        <i/>
        <vertAlign val="subscript"/>
        <sz val="12"/>
        <color theme="1"/>
        <rFont val="Arial Narrow"/>
        <family val="2"/>
      </rPr>
      <t>i, y</t>
    </r>
    <r>
      <rPr>
        <sz val="12"/>
        <color theme="1"/>
        <rFont val="Arial Narrow"/>
        <family val="2"/>
      </rPr>
      <t>) × ES</t>
    </r>
    <r>
      <rPr>
        <i/>
        <vertAlign val="subscript"/>
        <sz val="12"/>
        <color theme="1"/>
        <rFont val="Arial Narrow"/>
        <family val="2"/>
      </rPr>
      <t>i</t>
    </r>
    <r>
      <rPr>
        <sz val="12"/>
        <color theme="1"/>
        <rFont val="Arial Narrow"/>
        <family val="2"/>
      </rPr>
      <t xml:space="preserve"> × 1/(1 − TD</t>
    </r>
    <r>
      <rPr>
        <i/>
        <vertAlign val="subscript"/>
        <sz val="12"/>
        <color theme="1"/>
        <rFont val="Arial Narrow"/>
        <family val="2"/>
      </rPr>
      <t>y</t>
    </r>
    <r>
      <rPr>
        <sz val="12"/>
        <color theme="1"/>
        <rFont val="Arial Narrow"/>
        <family val="2"/>
      </rPr>
      <t>) × NTG</t>
    </r>
  </si>
  <si>
    <r>
      <t xml:space="preserve">                                NES</t>
    </r>
    <r>
      <rPr>
        <vertAlign val="subscript"/>
        <sz val="11"/>
        <color theme="1"/>
        <rFont val="Arial Narrow"/>
        <family val="2"/>
      </rPr>
      <t>y</t>
    </r>
  </si>
  <si>
    <r>
      <t>Electricidad neta ahorrada en el año</t>
    </r>
    <r>
      <rPr>
        <i/>
        <sz val="10"/>
        <color theme="1"/>
        <rFont val="Arial Narrow"/>
        <family val="2"/>
      </rPr>
      <t xml:space="preserve"> y</t>
    </r>
    <r>
      <rPr>
        <sz val="10"/>
        <color theme="1"/>
        <rFont val="Arial Narrow"/>
        <family val="2"/>
      </rPr>
      <t xml:space="preserve"> </t>
    </r>
    <r>
      <rPr>
        <sz val="10"/>
        <color rgb="FF0070C0"/>
        <rFont val="Arial Narrow"/>
        <family val="2"/>
      </rPr>
      <t>[KWh/año]</t>
    </r>
  </si>
  <si>
    <r>
      <t>Q</t>
    </r>
    <r>
      <rPr>
        <vertAlign val="subscript"/>
        <sz val="12"/>
        <color theme="1"/>
        <rFont val="Arial Narrow"/>
        <family val="2"/>
      </rPr>
      <t>PJ,</t>
    </r>
    <r>
      <rPr>
        <i/>
        <vertAlign val="subscript"/>
        <sz val="12"/>
        <color theme="1"/>
        <rFont val="Arial Narrow"/>
        <family val="2"/>
      </rPr>
      <t>i</t>
    </r>
  </si>
  <si>
    <r>
      <t xml:space="preserve">Cantidad de luminarias </t>
    </r>
    <r>
      <rPr>
        <i/>
        <sz val="11"/>
        <color rgb="FF0070C0"/>
        <rFont val="Arial Narrow"/>
        <family val="2"/>
      </rPr>
      <t>i</t>
    </r>
    <r>
      <rPr>
        <sz val="10"/>
        <color theme="1"/>
        <rFont val="Arial Narrow"/>
        <family val="2"/>
      </rPr>
      <t>, instaladas en el proyecto (actividad propuesta)</t>
    </r>
  </si>
  <si>
    <r>
      <t>LFR</t>
    </r>
    <r>
      <rPr>
        <i/>
        <vertAlign val="subscript"/>
        <sz val="12"/>
        <color theme="1"/>
        <rFont val="Arial Narrow"/>
        <family val="2"/>
      </rPr>
      <t>i, y</t>
    </r>
  </si>
  <si>
    <r>
      <t xml:space="preserve">Tasa de fallo de la luminaria </t>
    </r>
    <r>
      <rPr>
        <i/>
        <sz val="11"/>
        <color rgb="FF0070C0"/>
        <rFont val="Arial Narrow"/>
        <family val="2"/>
      </rPr>
      <t>i</t>
    </r>
    <r>
      <rPr>
        <sz val="10"/>
        <color theme="1"/>
        <rFont val="Arial Narrow"/>
        <family val="2"/>
      </rPr>
      <t xml:space="preserve"> instaladas en el proyecto (actividad propuesta)</t>
    </r>
  </si>
  <si>
    <r>
      <t>ES</t>
    </r>
    <r>
      <rPr>
        <i/>
        <vertAlign val="subscript"/>
        <sz val="12"/>
        <color theme="1"/>
        <rFont val="Arial Narrow"/>
        <family val="2"/>
      </rPr>
      <t>i</t>
    </r>
    <r>
      <rPr>
        <sz val="12"/>
        <color theme="1"/>
        <rFont val="Arial Narrow"/>
        <family val="2"/>
      </rPr>
      <t xml:space="preserve"> </t>
    </r>
  </si>
  <si>
    <r>
      <t xml:space="preserve">Electricidad ahorrada anualmente por la luminaria </t>
    </r>
    <r>
      <rPr>
        <i/>
        <sz val="10"/>
        <color rgb="FF0070C0"/>
        <rFont val="Arial Narrow"/>
        <family val="2"/>
      </rPr>
      <t xml:space="preserve">i </t>
    </r>
    <r>
      <rPr>
        <sz val="10"/>
        <color rgb="FF0070C0"/>
        <rFont val="Arial Narrow"/>
        <family val="2"/>
      </rPr>
      <t>[KWh/año]</t>
    </r>
  </si>
  <si>
    <r>
      <t>TD</t>
    </r>
    <r>
      <rPr>
        <i/>
        <vertAlign val="subscript"/>
        <sz val="12"/>
        <color theme="1"/>
        <rFont val="Arial Narrow"/>
        <family val="2"/>
      </rPr>
      <t>y</t>
    </r>
  </si>
  <si>
    <r>
      <t>(2)                                   ES</t>
    </r>
    <r>
      <rPr>
        <i/>
        <vertAlign val="subscript"/>
        <sz val="11"/>
        <color theme="1"/>
        <rFont val="Arial Narrow"/>
        <family val="2"/>
      </rPr>
      <t>i</t>
    </r>
    <r>
      <rPr>
        <sz val="11"/>
        <color theme="1"/>
        <rFont val="Arial Narrow"/>
        <family val="2"/>
      </rPr>
      <t xml:space="preserve"> =</t>
    </r>
  </si>
  <si>
    <r>
      <t>P</t>
    </r>
    <r>
      <rPr>
        <i/>
        <vertAlign val="subscript"/>
        <sz val="12"/>
        <color theme="1"/>
        <rFont val="Arial Narrow"/>
        <family val="2"/>
      </rPr>
      <t>i</t>
    </r>
    <r>
      <rPr>
        <vertAlign val="subscript"/>
        <sz val="12"/>
        <color theme="1"/>
        <rFont val="Arial Narrow"/>
        <family val="2"/>
      </rPr>
      <t>, BL</t>
    </r>
    <r>
      <rPr>
        <sz val="12"/>
        <color theme="1"/>
        <rFont val="Calibri"/>
        <family val="2"/>
      </rPr>
      <t/>
    </r>
  </si>
  <si>
    <r>
      <t xml:space="preserve">Potencia nominal de cada tipo de luminaria </t>
    </r>
    <r>
      <rPr>
        <i/>
        <sz val="11"/>
        <color theme="1"/>
        <rFont val="Arial Narrow"/>
        <family val="2"/>
      </rPr>
      <t>i</t>
    </r>
    <r>
      <rPr>
        <sz val="10"/>
        <color theme="1"/>
        <rFont val="Arial Narrow"/>
        <family val="2"/>
      </rPr>
      <t>, en la línea base [W]</t>
    </r>
  </si>
  <si>
    <r>
      <t>P</t>
    </r>
    <r>
      <rPr>
        <vertAlign val="subscript"/>
        <sz val="12"/>
        <color theme="1"/>
        <rFont val="Arial Narrow"/>
        <family val="2"/>
      </rPr>
      <t>i</t>
    </r>
    <r>
      <rPr>
        <i/>
        <vertAlign val="subscript"/>
        <sz val="12"/>
        <color theme="1"/>
        <rFont val="Arial Narrow"/>
        <family val="2"/>
      </rPr>
      <t>, PJ</t>
    </r>
    <r>
      <rPr>
        <sz val="12"/>
        <color theme="1"/>
        <rFont val="Calibri"/>
        <family val="2"/>
      </rPr>
      <t/>
    </r>
  </si>
  <si>
    <r>
      <t xml:space="preserve">Potencia nominal de cada tipo de luminaria </t>
    </r>
    <r>
      <rPr>
        <i/>
        <sz val="11"/>
        <color theme="1"/>
        <rFont val="Arial Narrow"/>
        <family val="2"/>
      </rPr>
      <t>i</t>
    </r>
    <r>
      <rPr>
        <sz val="10"/>
        <color theme="1"/>
        <rFont val="Arial Narrow"/>
        <family val="2"/>
      </rPr>
      <t>, en la medida propuesta [W]</t>
    </r>
  </si>
  <si>
    <r>
      <t>O</t>
    </r>
    <r>
      <rPr>
        <i/>
        <vertAlign val="subscript"/>
        <sz val="12"/>
        <color theme="1"/>
        <rFont val="Arial Narrow"/>
        <family val="2"/>
      </rPr>
      <t>i</t>
    </r>
  </si>
  <si>
    <r>
      <t xml:space="preserve">Promedio de operación diaria (se considera por defecto </t>
    </r>
    <r>
      <rPr>
        <b/>
        <sz val="10"/>
        <color theme="9" tint="-0.249977111117893"/>
        <rFont val="Arial Narrow"/>
        <family val="2"/>
      </rPr>
      <t>3.5</t>
    </r>
    <r>
      <rPr>
        <sz val="10"/>
        <color theme="1"/>
        <rFont val="Arial Narrow"/>
        <family val="2"/>
      </rPr>
      <t xml:space="preserve"> por cada 24 horas)</t>
    </r>
  </si>
  <si>
    <r>
      <t>(3)                                 LFR</t>
    </r>
    <r>
      <rPr>
        <i/>
        <vertAlign val="subscript"/>
        <sz val="11"/>
        <color theme="1"/>
        <rFont val="Arial Narrow"/>
        <family val="2"/>
      </rPr>
      <t>i</t>
    </r>
    <r>
      <rPr>
        <sz val="11"/>
        <color theme="1"/>
        <rFont val="Arial Narrow"/>
        <family val="2"/>
      </rPr>
      <t xml:space="preserve"> =</t>
    </r>
  </si>
  <si>
    <r>
      <t>0.5 × y × X</t>
    </r>
    <r>
      <rPr>
        <i/>
        <vertAlign val="subscript"/>
        <sz val="12"/>
        <color theme="1"/>
        <rFont val="Arial Narrow"/>
        <family val="2"/>
      </rPr>
      <t>i</t>
    </r>
    <r>
      <rPr>
        <sz val="12"/>
        <color theme="1"/>
        <rFont val="Arial Narrow"/>
        <family val="2"/>
      </rPr>
      <t xml:space="preserve"> / L</t>
    </r>
    <r>
      <rPr>
        <i/>
        <vertAlign val="subscript"/>
        <sz val="12"/>
        <color theme="1"/>
        <rFont val="Arial Narrow"/>
        <family val="2"/>
      </rPr>
      <t>i</t>
    </r>
    <r>
      <rPr>
        <i/>
        <sz val="12"/>
        <color theme="1"/>
        <rFont val="Arial Narrow"/>
        <family val="2"/>
      </rPr>
      <t xml:space="preserve"> </t>
    </r>
  </si>
  <si>
    <r>
      <t>X</t>
    </r>
    <r>
      <rPr>
        <i/>
        <vertAlign val="subscript"/>
        <sz val="12"/>
        <color theme="1"/>
        <rFont val="Arial Narrow"/>
        <family val="2"/>
      </rPr>
      <t>i</t>
    </r>
  </si>
  <si>
    <r>
      <t>número de horas de funcionamiento, de la luminaria</t>
    </r>
    <r>
      <rPr>
        <i/>
        <sz val="11"/>
        <color theme="1"/>
        <rFont val="Arial Narrow"/>
        <family val="2"/>
      </rPr>
      <t xml:space="preserve"> i</t>
    </r>
  </si>
  <si>
    <r>
      <t>L</t>
    </r>
    <r>
      <rPr>
        <i/>
        <vertAlign val="subscript"/>
        <sz val="12"/>
        <color theme="1"/>
        <rFont val="Arial Narrow"/>
        <family val="2"/>
      </rPr>
      <t>i</t>
    </r>
  </si>
  <si>
    <r>
      <t xml:space="preserve">ratio de promedio de tiempo de vida, de la luminaria </t>
    </r>
    <r>
      <rPr>
        <i/>
        <sz val="11"/>
        <color theme="1"/>
        <rFont val="Arial Narrow"/>
        <family val="2"/>
      </rPr>
      <t>i</t>
    </r>
  </si>
  <si>
    <r>
      <t xml:space="preserve">Cálculo de la </t>
    </r>
    <r>
      <rPr>
        <u/>
        <sz val="10"/>
        <color theme="9" tint="-0.249977111117893"/>
        <rFont val="Arial Narrow"/>
        <family val="2"/>
      </rPr>
      <t>tasa de fallo</t>
    </r>
    <r>
      <rPr>
        <b/>
        <u/>
        <sz val="10"/>
        <color theme="1"/>
        <rFont val="Arial Narrow"/>
        <family val="2"/>
      </rPr>
      <t>, por tipo de luminaria propuesta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(</t>
    </r>
    <r>
      <rPr>
        <sz val="10"/>
        <color theme="9" tint="-0.249977111117893"/>
        <rFont val="Arial Narrow"/>
        <family val="2"/>
      </rPr>
      <t>LFR</t>
    </r>
    <r>
      <rPr>
        <i/>
        <vertAlign val="subscript"/>
        <sz val="10"/>
        <color theme="9" tint="-0.249977111117893"/>
        <rFont val="Arial Narrow"/>
        <family val="2"/>
      </rPr>
      <t>i</t>
    </r>
    <r>
      <rPr>
        <sz val="10"/>
        <color theme="1"/>
        <rFont val="Arial Narrow"/>
        <family val="2"/>
      </rPr>
      <t>: usando ecuación 3)</t>
    </r>
  </si>
  <si>
    <r>
      <t xml:space="preserve">Horas de funcionamiento 
</t>
    </r>
    <r>
      <rPr>
        <sz val="12"/>
        <color theme="1"/>
        <rFont val="Arial Narrow"/>
        <family val="2"/>
      </rPr>
      <t>(X</t>
    </r>
    <r>
      <rPr>
        <i/>
        <vertAlign val="subscript"/>
        <sz val="12"/>
        <color theme="1"/>
        <rFont val="Arial Narrow"/>
        <family val="2"/>
      </rPr>
      <t>i</t>
    </r>
    <r>
      <rPr>
        <sz val="12"/>
        <color theme="1"/>
        <rFont val="Arial Narrow"/>
        <family val="2"/>
      </rPr>
      <t xml:space="preserve">) </t>
    </r>
    <r>
      <rPr>
        <sz val="12"/>
        <color rgb="FF0070C0"/>
        <rFont val="Arial Narrow"/>
        <family val="2"/>
      </rPr>
      <t>[h]</t>
    </r>
  </si>
  <si>
    <r>
      <t xml:space="preserve">Promedio de tiempo de vida 
</t>
    </r>
    <r>
      <rPr>
        <sz val="12"/>
        <color theme="1"/>
        <rFont val="Arial Narrow"/>
        <family val="2"/>
      </rPr>
      <t>(L</t>
    </r>
    <r>
      <rPr>
        <i/>
        <vertAlign val="subscript"/>
        <sz val="12"/>
        <color theme="1"/>
        <rFont val="Arial Narrow"/>
        <family val="2"/>
      </rPr>
      <t>i</t>
    </r>
    <r>
      <rPr>
        <sz val="12"/>
        <color theme="1"/>
        <rFont val="Arial Narrow"/>
        <family val="2"/>
      </rPr>
      <t xml:space="preserve">) </t>
    </r>
    <r>
      <rPr>
        <sz val="12"/>
        <color rgb="FF0070C0"/>
        <rFont val="Arial Narrow"/>
        <family val="2"/>
      </rPr>
      <t>[h]</t>
    </r>
  </si>
  <si>
    <r>
      <t xml:space="preserve">Contador de años
 </t>
    </r>
    <r>
      <rPr>
        <sz val="10"/>
        <color rgb="FF0070C0"/>
        <rFont val="Arial Narrow"/>
        <family val="2"/>
      </rPr>
      <t>( y )</t>
    </r>
  </si>
  <si>
    <r>
      <t xml:space="preserve">Tasa de fallo de la luminaria
</t>
    </r>
    <r>
      <rPr>
        <sz val="12"/>
        <color rgb="FF0070C0"/>
        <rFont val="Arial Narrow"/>
        <family val="2"/>
      </rPr>
      <t>(LFR</t>
    </r>
    <r>
      <rPr>
        <i/>
        <vertAlign val="subscript"/>
        <sz val="12"/>
        <color rgb="FF0070C0"/>
        <rFont val="Arial Narrow"/>
        <family val="2"/>
      </rPr>
      <t>i</t>
    </r>
    <r>
      <rPr>
        <sz val="12"/>
        <color rgb="FF0070C0"/>
        <rFont val="Arial Narrow"/>
        <family val="2"/>
      </rPr>
      <t>) [h]</t>
    </r>
  </si>
  <si>
    <r>
      <t xml:space="preserve">Cálculo de la </t>
    </r>
    <r>
      <rPr>
        <u/>
        <sz val="10"/>
        <color theme="9" tint="-0.249977111117893"/>
        <rFont val="Arial Narrow"/>
        <family val="2"/>
      </rPr>
      <t xml:space="preserve">electricidad anual ahorrada por tipo de lámpara </t>
    </r>
    <r>
      <rPr>
        <i/>
        <sz val="11"/>
        <color theme="9" tint="-0.249977111117893"/>
        <rFont val="Arial Narrow"/>
        <family val="2"/>
      </rPr>
      <t xml:space="preserve">i </t>
    </r>
    <r>
      <rPr>
        <sz val="10"/>
        <color theme="1"/>
        <rFont val="Arial Narrow"/>
        <family val="2"/>
      </rPr>
      <t>(</t>
    </r>
    <r>
      <rPr>
        <sz val="10"/>
        <color theme="9" tint="-0.249977111117893"/>
        <rFont val="Arial Narrow"/>
        <family val="2"/>
      </rPr>
      <t>ES</t>
    </r>
    <r>
      <rPr>
        <i/>
        <vertAlign val="subscript"/>
        <sz val="11"/>
        <color theme="9" tint="-0.249977111117893"/>
        <rFont val="Arial Narrow"/>
        <family val="2"/>
      </rPr>
      <t>i</t>
    </r>
    <r>
      <rPr>
        <sz val="10"/>
        <color theme="1"/>
        <rFont val="Arial Narrow"/>
        <family val="2"/>
      </rPr>
      <t>: usando ecuación 2)</t>
    </r>
  </si>
  <si>
    <r>
      <t xml:space="preserve">Tipo  de luminaria
</t>
    </r>
    <r>
      <rPr>
        <sz val="10"/>
        <color rgb="FF0070C0"/>
        <rFont val="Arial Narrow"/>
        <family val="2"/>
      </rPr>
      <t>(</t>
    </r>
    <r>
      <rPr>
        <i/>
        <sz val="11"/>
        <color rgb="FF0070C0"/>
        <rFont val="Arial Narrow"/>
        <family val="2"/>
      </rPr>
      <t>i</t>
    </r>
    <r>
      <rPr>
        <sz val="10"/>
        <color rgb="FF0070C0"/>
        <rFont val="Arial Narrow"/>
        <family val="2"/>
      </rPr>
      <t>)</t>
    </r>
  </si>
  <si>
    <r>
      <rPr>
        <sz val="10"/>
        <color theme="1"/>
        <rFont val="Arial Narrow"/>
        <family val="2"/>
      </rPr>
      <t xml:space="preserve">Potencia de la luminaria a reemplazar </t>
    </r>
    <r>
      <rPr>
        <sz val="12"/>
        <color theme="1"/>
        <rFont val="Arial Narrow"/>
        <family val="2"/>
      </rPr>
      <t xml:space="preserve">
</t>
    </r>
    <r>
      <rPr>
        <sz val="12"/>
        <color rgb="FF0070C0"/>
        <rFont val="Arial Narrow"/>
        <family val="2"/>
      </rPr>
      <t>(P</t>
    </r>
    <r>
      <rPr>
        <i/>
        <vertAlign val="subscript"/>
        <sz val="12"/>
        <color rgb="FF0070C0"/>
        <rFont val="Arial Narrow"/>
        <family val="2"/>
      </rPr>
      <t>i</t>
    </r>
    <r>
      <rPr>
        <vertAlign val="subscript"/>
        <sz val="12"/>
        <color rgb="FF0070C0"/>
        <rFont val="Arial Narrow"/>
        <family val="2"/>
      </rPr>
      <t>, BL</t>
    </r>
    <r>
      <rPr>
        <sz val="12"/>
        <color rgb="FF0070C0"/>
        <rFont val="Arial Narrow"/>
        <family val="2"/>
      </rPr>
      <t>) [W]</t>
    </r>
  </si>
  <si>
    <r>
      <rPr>
        <sz val="10"/>
        <color theme="1"/>
        <rFont val="Arial Narrow"/>
        <family val="2"/>
      </rPr>
      <t xml:space="preserve">Potencia de la luminaria propuesta </t>
    </r>
    <r>
      <rPr>
        <sz val="12"/>
        <color theme="1"/>
        <rFont val="Arial Narrow"/>
        <family val="2"/>
      </rPr>
      <t xml:space="preserve">
</t>
    </r>
    <r>
      <rPr>
        <sz val="12"/>
        <color rgb="FF0070C0"/>
        <rFont val="Arial Narrow"/>
        <family val="2"/>
      </rPr>
      <t>(P</t>
    </r>
    <r>
      <rPr>
        <vertAlign val="subscript"/>
        <sz val="12"/>
        <color rgb="FF0070C0"/>
        <rFont val="Arial Narrow"/>
        <family val="2"/>
      </rPr>
      <t>i</t>
    </r>
    <r>
      <rPr>
        <i/>
        <vertAlign val="subscript"/>
        <sz val="12"/>
        <color rgb="FF0070C0"/>
        <rFont val="Arial Narrow"/>
        <family val="2"/>
      </rPr>
      <t>, PJ</t>
    </r>
    <r>
      <rPr>
        <sz val="12"/>
        <color rgb="FF0070C0"/>
        <rFont val="Arial Narrow"/>
        <family val="2"/>
      </rPr>
      <t>) [W]</t>
    </r>
  </si>
  <si>
    <r>
      <rPr>
        <sz val="10"/>
        <color theme="1"/>
        <rFont val="Arial Narrow"/>
        <family val="2"/>
      </rPr>
      <t xml:space="preserve">Promedio de uso diario </t>
    </r>
    <r>
      <rPr>
        <sz val="12"/>
        <color theme="1"/>
        <rFont val="Arial Narrow"/>
        <family val="2"/>
      </rPr>
      <t xml:space="preserve">
</t>
    </r>
    <r>
      <rPr>
        <sz val="12"/>
        <color rgb="FF0070C0"/>
        <rFont val="Arial Narrow"/>
        <family val="2"/>
      </rPr>
      <t>(O</t>
    </r>
    <r>
      <rPr>
        <i/>
        <vertAlign val="subscript"/>
        <sz val="12"/>
        <color rgb="FF0070C0"/>
        <rFont val="Arial Narrow"/>
        <family val="2"/>
      </rPr>
      <t>i</t>
    </r>
    <r>
      <rPr>
        <sz val="12"/>
        <color rgb="FF0070C0"/>
        <rFont val="Arial Narrow"/>
        <family val="2"/>
      </rPr>
      <t>) [h]</t>
    </r>
  </si>
  <si>
    <r>
      <rPr>
        <sz val="10"/>
        <color theme="1"/>
        <rFont val="Arial Narrow"/>
        <family val="2"/>
      </rPr>
      <t xml:space="preserve">Energía ahorrada </t>
    </r>
    <r>
      <rPr>
        <sz val="11"/>
        <color theme="1"/>
        <rFont val="Arial Narrow"/>
        <family val="2"/>
      </rPr>
      <t xml:space="preserve">
</t>
    </r>
    <r>
      <rPr>
        <sz val="11"/>
        <color rgb="FF0070C0"/>
        <rFont val="Arial Narrow"/>
        <family val="2"/>
      </rPr>
      <t>(ES</t>
    </r>
    <r>
      <rPr>
        <i/>
        <vertAlign val="subscript"/>
        <sz val="11"/>
        <color rgb="FF0070C0"/>
        <rFont val="Arial Narrow"/>
        <family val="2"/>
      </rPr>
      <t>i</t>
    </r>
    <r>
      <rPr>
        <sz val="11"/>
        <color rgb="FF0070C0"/>
        <rFont val="Arial Narrow"/>
        <family val="2"/>
      </rPr>
      <t xml:space="preserve">) [KWh/año] </t>
    </r>
  </si>
  <si>
    <r>
      <t xml:space="preserve">Cálculo de la </t>
    </r>
    <r>
      <rPr>
        <u/>
        <sz val="10"/>
        <color theme="9" tint="-0.249977111117893"/>
        <rFont val="Arial Narrow"/>
        <family val="2"/>
      </rPr>
      <t xml:space="preserve">electricidad neta anual ahorrada por tipo de lámpara </t>
    </r>
    <r>
      <rPr>
        <i/>
        <sz val="11"/>
        <color theme="9" tint="-0.249977111117893"/>
        <rFont val="Arial Narrow"/>
        <family val="2"/>
      </rPr>
      <t xml:space="preserve">i </t>
    </r>
    <r>
      <rPr>
        <sz val="10"/>
        <color theme="1"/>
        <rFont val="Arial Narrow"/>
        <family val="2"/>
      </rPr>
      <t>(</t>
    </r>
    <r>
      <rPr>
        <sz val="10"/>
        <color theme="9" tint="-0.249977111117893"/>
        <rFont val="Arial Narrow"/>
        <family val="2"/>
      </rPr>
      <t>NES</t>
    </r>
    <r>
      <rPr>
        <i/>
        <vertAlign val="subscript"/>
        <sz val="11"/>
        <color theme="9" tint="-0.249977111117893"/>
        <rFont val="Arial Narrow"/>
        <family val="2"/>
      </rPr>
      <t>i</t>
    </r>
    <r>
      <rPr>
        <sz val="10"/>
        <color theme="1"/>
        <rFont val="Arial Narrow"/>
        <family val="2"/>
      </rPr>
      <t>: usando ecuación 2)</t>
    </r>
  </si>
  <si>
    <r>
      <t xml:space="preserve">Cantidad de luminarias </t>
    </r>
    <r>
      <rPr>
        <i/>
        <sz val="11"/>
        <color rgb="FF0070C0"/>
        <rFont val="Arial Narrow"/>
        <family val="2"/>
      </rPr>
      <t>i</t>
    </r>
    <r>
      <rPr>
        <sz val="10"/>
        <color theme="1"/>
        <rFont val="Arial Narrow"/>
        <family val="2"/>
      </rPr>
      <t xml:space="preserve">, instaladas por la medida 
</t>
    </r>
    <r>
      <rPr>
        <sz val="10"/>
        <color rgb="FF0070C0"/>
        <rFont val="Arial Narrow"/>
        <family val="2"/>
      </rPr>
      <t>(Q</t>
    </r>
    <r>
      <rPr>
        <vertAlign val="subscript"/>
        <sz val="10"/>
        <color rgb="FF0070C0"/>
        <rFont val="Arial Narrow"/>
        <family val="2"/>
      </rPr>
      <t>PJ,</t>
    </r>
    <r>
      <rPr>
        <i/>
        <vertAlign val="subscript"/>
        <sz val="10"/>
        <color rgb="FF0070C0"/>
        <rFont val="Arial Narrow"/>
        <family val="2"/>
      </rPr>
      <t>i</t>
    </r>
    <r>
      <rPr>
        <sz val="10"/>
        <color rgb="FF0070C0"/>
        <rFont val="Arial Narrow"/>
        <family val="2"/>
      </rPr>
      <t>)</t>
    </r>
  </si>
  <si>
    <r>
      <t xml:space="preserve">Tasa de fallo de la luminaria </t>
    </r>
    <r>
      <rPr>
        <i/>
        <sz val="11"/>
        <color rgb="FF0070C0"/>
        <rFont val="Arial Narrow"/>
        <family val="2"/>
      </rPr>
      <t>i</t>
    </r>
    <r>
      <rPr>
        <sz val="10"/>
        <color theme="1"/>
        <rFont val="Arial Narrow"/>
        <family val="2"/>
      </rPr>
      <t xml:space="preserve"> 
</t>
    </r>
    <r>
      <rPr>
        <sz val="10"/>
        <color rgb="FF0070C0"/>
        <rFont val="Arial Narrow"/>
        <family val="2"/>
      </rPr>
      <t>(LFR</t>
    </r>
    <r>
      <rPr>
        <i/>
        <vertAlign val="subscript"/>
        <sz val="10"/>
        <color rgb="FF0070C0"/>
        <rFont val="Arial Narrow"/>
        <family val="2"/>
      </rPr>
      <t>i</t>
    </r>
    <r>
      <rPr>
        <vertAlign val="subscript"/>
        <sz val="10"/>
        <color rgb="FF0070C0"/>
        <rFont val="Arial Narrow"/>
        <family val="2"/>
      </rPr>
      <t>, y</t>
    </r>
    <r>
      <rPr>
        <sz val="10"/>
        <color rgb="FF0070C0"/>
        <rFont val="Arial Narrow"/>
        <family val="2"/>
      </rPr>
      <t>)</t>
    </r>
  </si>
  <si>
    <r>
      <t xml:space="preserve">Electricidad ahorrada anualmente por la luminaria </t>
    </r>
    <r>
      <rPr>
        <i/>
        <sz val="11"/>
        <color rgb="FF0070C0"/>
        <rFont val="Arial Narrow"/>
        <family val="2"/>
      </rPr>
      <t xml:space="preserve">i </t>
    </r>
    <r>
      <rPr>
        <sz val="11"/>
        <color rgb="FF0070C0"/>
        <rFont val="Arial Narrow"/>
        <family val="2"/>
      </rPr>
      <t>(ES</t>
    </r>
    <r>
      <rPr>
        <i/>
        <vertAlign val="subscript"/>
        <sz val="11"/>
        <color rgb="FF0070C0"/>
        <rFont val="Arial Narrow"/>
        <family val="2"/>
      </rPr>
      <t>i</t>
    </r>
    <r>
      <rPr>
        <sz val="11"/>
        <color rgb="FF0070C0"/>
        <rFont val="Arial Narrow"/>
        <family val="2"/>
      </rPr>
      <t xml:space="preserve"> )[KWH/año]</t>
    </r>
  </si>
  <si>
    <r>
      <t xml:space="preserve">Electricidad neta ahorrada  </t>
    </r>
    <r>
      <rPr>
        <sz val="10"/>
        <color rgb="FF0070C0"/>
        <rFont val="Arial Narrow"/>
        <family val="2"/>
      </rPr>
      <t>(NES</t>
    </r>
    <r>
      <rPr>
        <vertAlign val="subscript"/>
        <sz val="10"/>
        <color rgb="FF0070C0"/>
        <rFont val="Arial Narrow"/>
        <family val="2"/>
      </rPr>
      <t>y</t>
    </r>
    <r>
      <rPr>
        <sz val="10"/>
        <color rgb="FF0070C0"/>
        <rFont val="Arial Narrow"/>
        <family val="2"/>
      </rPr>
      <t xml:space="preserve">) [KWh/año] </t>
    </r>
  </si>
  <si>
    <r>
      <t>Electricidad neta ahorrada (NES</t>
    </r>
    <r>
      <rPr>
        <vertAlign val="subscript"/>
        <sz val="10"/>
        <color theme="1"/>
        <rFont val="Arial Narrow"/>
        <family val="2"/>
      </rPr>
      <t>y</t>
    </r>
    <r>
      <rPr>
        <sz val="10"/>
        <color theme="1"/>
        <rFont val="Arial Narrow"/>
        <family val="2"/>
      </rPr>
      <t xml:space="preserve">)
</t>
    </r>
    <r>
      <rPr>
        <sz val="10"/>
        <color rgb="FF0070C0"/>
        <rFont val="Arial Narrow"/>
        <family val="2"/>
      </rPr>
      <t>[MWh]</t>
    </r>
  </si>
  <si>
    <r>
      <t>Electricidad neta ahorrada final (NES</t>
    </r>
    <r>
      <rPr>
        <vertAlign val="subscript"/>
        <sz val="10"/>
        <color theme="1"/>
        <rFont val="Arial Narrow"/>
        <family val="2"/>
      </rPr>
      <t>y</t>
    </r>
    <r>
      <rPr>
        <sz val="10"/>
        <color theme="1"/>
        <rFont val="Arial Narrow"/>
        <family val="2"/>
      </rPr>
      <t xml:space="preserve">)
</t>
    </r>
    <r>
      <rPr>
        <sz val="10"/>
        <color rgb="FF0070C0"/>
        <rFont val="Arial Narrow"/>
        <family val="2"/>
      </rPr>
      <t>[MWh]</t>
    </r>
  </si>
  <si>
    <r>
      <t>(4)                   ER</t>
    </r>
    <r>
      <rPr>
        <vertAlign val="subscript"/>
        <sz val="11"/>
        <color theme="1"/>
        <rFont val="Arial Narrow"/>
        <family val="2"/>
      </rPr>
      <t>y</t>
    </r>
    <r>
      <rPr>
        <sz val="11"/>
        <color theme="1"/>
        <rFont val="Arial Narrow"/>
        <family val="2"/>
      </rPr>
      <t xml:space="preserve"> =</t>
    </r>
  </si>
  <si>
    <r>
      <t>NES</t>
    </r>
    <r>
      <rPr>
        <vertAlign val="subscript"/>
        <sz val="12"/>
        <color theme="1"/>
        <rFont val="Arial Narrow"/>
        <family val="2"/>
      </rPr>
      <t>y</t>
    </r>
    <r>
      <rPr>
        <sz val="12"/>
        <color theme="1"/>
        <rFont val="Arial Narrow"/>
        <family val="2"/>
      </rPr>
      <t xml:space="preserve">  ×  EF</t>
    </r>
    <r>
      <rPr>
        <vertAlign val="subscript"/>
        <sz val="12"/>
        <color theme="1"/>
        <rFont val="Arial Narrow"/>
        <family val="2"/>
      </rPr>
      <t>CO2, ELEC, y</t>
    </r>
    <r>
      <rPr>
        <sz val="12"/>
        <color theme="1"/>
        <rFont val="Arial Narrow"/>
        <family val="2"/>
      </rPr>
      <t xml:space="preserve"> </t>
    </r>
  </si>
  <si>
    <r>
      <t>ER</t>
    </r>
    <r>
      <rPr>
        <vertAlign val="subscript"/>
        <sz val="11"/>
        <color theme="1"/>
        <rFont val="Arial Narrow"/>
        <family val="2"/>
      </rPr>
      <t>y</t>
    </r>
  </si>
  <si>
    <r>
      <t xml:space="preserve">Reducción de emisiones por acción de las medidas propuestas , en el año </t>
    </r>
    <r>
      <rPr>
        <i/>
        <sz val="11"/>
        <rFont val="Arial Narrow"/>
        <family val="2"/>
      </rPr>
      <t xml:space="preserve">y </t>
    </r>
    <r>
      <rPr>
        <sz val="10"/>
        <color rgb="FF0070C0"/>
        <rFont val="Arial Narrow"/>
        <family val="2"/>
      </rPr>
      <t>[tCO</t>
    </r>
    <r>
      <rPr>
        <vertAlign val="subscript"/>
        <sz val="10"/>
        <color rgb="FF0070C0"/>
        <rFont val="Arial Narrow"/>
        <family val="2"/>
      </rPr>
      <t>2</t>
    </r>
    <r>
      <rPr>
        <sz val="10"/>
        <color rgb="FF0070C0"/>
        <rFont val="Arial Narrow"/>
        <family val="2"/>
      </rPr>
      <t>/año]</t>
    </r>
  </si>
  <si>
    <r>
      <t>EF</t>
    </r>
    <r>
      <rPr>
        <vertAlign val="subscript"/>
        <sz val="12"/>
        <color theme="1"/>
        <rFont val="Arial Narrow"/>
        <family val="2"/>
      </rPr>
      <t>CO2</t>
    </r>
    <r>
      <rPr>
        <sz val="12"/>
        <color theme="1"/>
        <rFont val="Arial Narrow"/>
        <family val="2"/>
      </rPr>
      <t xml:space="preserve"> </t>
    </r>
  </si>
  <si>
    <r>
      <t>factor de emisión para el CO</t>
    </r>
    <r>
      <rPr>
        <vertAlign val="subscript"/>
        <sz val="10"/>
        <color theme="1"/>
        <rFont val="Arial Narrow"/>
        <family val="2"/>
      </rPr>
      <t>2</t>
    </r>
    <r>
      <rPr>
        <sz val="10"/>
        <color theme="1"/>
        <rFont val="Arial Narrow"/>
        <family val="2"/>
      </rPr>
      <t xml:space="preserve"> </t>
    </r>
    <r>
      <rPr>
        <sz val="10"/>
        <color rgb="FF0070C0"/>
        <rFont val="Arial Narrow"/>
        <family val="2"/>
      </rPr>
      <t>[tCO</t>
    </r>
    <r>
      <rPr>
        <vertAlign val="subscript"/>
        <sz val="10"/>
        <color rgb="FF0070C0"/>
        <rFont val="Arial Narrow"/>
        <family val="2"/>
      </rPr>
      <t>2</t>
    </r>
    <r>
      <rPr>
        <sz val="10"/>
        <color rgb="FF0070C0"/>
        <rFont val="Arial Narrow"/>
        <family val="2"/>
      </rPr>
      <t>/KWh]</t>
    </r>
  </si>
  <si>
    <r>
      <t>Ahorro neto final (NES</t>
    </r>
    <r>
      <rPr>
        <vertAlign val="subscript"/>
        <sz val="10"/>
        <color theme="1"/>
        <rFont val="Arial Narrow"/>
        <family val="2"/>
      </rPr>
      <t>y</t>
    </r>
    <r>
      <rPr>
        <sz val="10"/>
        <color theme="1"/>
        <rFont val="Arial Narrow"/>
        <family val="2"/>
      </rPr>
      <t xml:space="preserve">)
</t>
    </r>
    <r>
      <rPr>
        <sz val="10"/>
        <color rgb="FF0070C0"/>
        <rFont val="Arial Narrow"/>
        <family val="2"/>
      </rPr>
      <t>[MWh]</t>
    </r>
  </si>
  <si>
    <r>
      <t>Emisiones (ER</t>
    </r>
    <r>
      <rPr>
        <vertAlign val="subscript"/>
        <sz val="10"/>
        <color theme="1"/>
        <rFont val="Arial Narrow"/>
        <family val="2"/>
      </rPr>
      <t>y</t>
    </r>
    <r>
      <rPr>
        <sz val="10"/>
        <color theme="1"/>
        <rFont val="Arial Narrow"/>
        <family val="2"/>
      </rPr>
      <t xml:space="preserve">)
</t>
    </r>
    <r>
      <rPr>
        <sz val="10"/>
        <color rgb="FF0070C0"/>
        <rFont val="Arial Narrow"/>
        <family val="2"/>
      </rPr>
      <t>[tCO</t>
    </r>
    <r>
      <rPr>
        <vertAlign val="subscript"/>
        <sz val="10"/>
        <color rgb="FF0070C0"/>
        <rFont val="Arial Narrow"/>
        <family val="2"/>
      </rPr>
      <t>2</t>
    </r>
    <r>
      <rPr>
        <sz val="10"/>
        <color rgb="FF0070C0"/>
        <rFont val="Arial Narrow"/>
        <family val="2"/>
      </rPr>
      <t>]</t>
    </r>
  </si>
  <si>
    <r>
      <t xml:space="preserve">Costo de Mitigación </t>
    </r>
    <r>
      <rPr>
        <sz val="10"/>
        <color rgb="FF0070C0"/>
        <rFont val="Arial Narrow"/>
        <family val="2"/>
      </rPr>
      <t>[PES/tCO</t>
    </r>
    <r>
      <rPr>
        <vertAlign val="subscript"/>
        <sz val="10"/>
        <color rgb="FF0070C0"/>
        <rFont val="Arial Narrow"/>
        <family val="2"/>
      </rPr>
      <t>2</t>
    </r>
    <r>
      <rPr>
        <sz val="10"/>
        <color rgb="FF0070C0"/>
        <rFont val="Arial Narrow"/>
        <family val="2"/>
      </rPr>
      <t>e]</t>
    </r>
  </si>
  <si>
    <r>
      <t>Costo de energía amazonas</t>
    </r>
    <r>
      <rPr>
        <vertAlign val="superscript"/>
        <sz val="10"/>
        <color theme="9" tint="-0.249977111117893"/>
        <rFont val="Arial Narrow"/>
        <family val="2"/>
      </rPr>
      <t>2</t>
    </r>
  </si>
  <si>
    <r>
      <t xml:space="preserve">Gasto por consumo de energía </t>
    </r>
    <r>
      <rPr>
        <sz val="10"/>
        <color theme="5" tint="-0.249977111117893"/>
        <rFont val="Arial Narrow"/>
        <family val="2"/>
      </rPr>
      <t>con</t>
    </r>
    <r>
      <rPr>
        <sz val="10"/>
        <color theme="5" tint="0.3999755851924192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medida
</t>
    </r>
    <r>
      <rPr>
        <sz val="10"/>
        <color rgb="FF0070C0"/>
        <rFont val="Arial Narrow"/>
        <family val="2"/>
      </rPr>
      <t>[PES/Kwh]</t>
    </r>
  </si>
  <si>
    <r>
      <t xml:space="preserve">Inversión 
</t>
    </r>
    <r>
      <rPr>
        <sz val="10"/>
        <color rgb="FF0070C0"/>
        <rFont val="Arial Narrow"/>
        <family val="2"/>
      </rPr>
      <t>[PES]</t>
    </r>
  </si>
  <si>
    <r>
      <t xml:space="preserve">Gasto por consumo de energía </t>
    </r>
    <r>
      <rPr>
        <sz val="10"/>
        <color theme="5" tint="-0.249977111117893"/>
        <rFont val="Arial Narrow"/>
        <family val="2"/>
      </rPr>
      <t>sin</t>
    </r>
    <r>
      <rPr>
        <sz val="10"/>
        <color theme="1"/>
        <rFont val="Arial Narrow"/>
        <family val="2"/>
      </rPr>
      <t xml:space="preserve"> medida
</t>
    </r>
    <r>
      <rPr>
        <sz val="10"/>
        <color rgb="FF0070C0"/>
        <rFont val="Arial Narrow"/>
        <family val="2"/>
      </rPr>
      <t>[PES / KWh]</t>
    </r>
  </si>
  <si>
    <r>
      <t xml:space="preserve">Reposición de termas
</t>
    </r>
    <r>
      <rPr>
        <sz val="10"/>
        <color rgb="FF0070C0"/>
        <rFont val="Arial Narrow"/>
        <family val="2"/>
      </rPr>
      <t>[PES]</t>
    </r>
  </si>
  <si>
    <r>
      <t>Cantidad de termas eléctricas nacional</t>
    </r>
    <r>
      <rPr>
        <vertAlign val="superscript"/>
        <sz val="11"/>
        <color theme="9" tint="-0.249977111117893"/>
        <rFont val="Arial Narrow"/>
        <family val="2"/>
      </rPr>
      <t>1</t>
    </r>
  </si>
  <si>
    <r>
      <t xml:space="preserve">Implementación gradual de la medida
</t>
    </r>
    <r>
      <rPr>
        <sz val="10"/>
        <color rgb="FF0070C0"/>
        <rFont val="Arial Narrow"/>
        <family val="2"/>
      </rPr>
      <t>[calentadores/año]</t>
    </r>
  </si>
  <si>
    <r>
      <rPr>
        <b/>
        <u/>
        <sz val="10"/>
        <color rgb="FF0070C0"/>
        <rFont val="Arial Narrow"/>
        <family val="2"/>
      </rPr>
      <t>Paso 4</t>
    </r>
    <r>
      <rPr>
        <b/>
        <sz val="10"/>
        <color rgb="FF0070C0"/>
        <rFont val="Arial Narrow"/>
        <family val="2"/>
      </rPr>
      <t>: Supuestos</t>
    </r>
  </si>
  <si>
    <t>%</t>
  </si>
  <si>
    <t>PES/h</t>
  </si>
  <si>
    <t>h/taller</t>
  </si>
  <si>
    <t>Rescatado de: http://apps5.mineco.gob.pe/transparencia/Navegador/default.aspx?y=2016&amp;ap=ActProy</t>
  </si>
  <si>
    <t xml:space="preserve">En este libro de trabajo se podrá hacer la estimación de costos, y reducción de GEI, de las medidas de mitigación que serían generales a las Auditorías Energéticas. Se han considerado las siguientes tipos de medidas: </t>
  </si>
  <si>
    <r>
      <rPr>
        <b/>
        <u/>
        <sz val="10"/>
        <color rgb="FF0070C0"/>
        <rFont val="Arial Narrow"/>
        <family val="2"/>
      </rPr>
      <t>Paso 3</t>
    </r>
    <r>
      <rPr>
        <b/>
        <sz val="10"/>
        <color rgb="FF0070C0"/>
        <rFont val="Arial Narrow"/>
        <family val="2"/>
      </rPr>
      <t>: Resultados</t>
    </r>
  </si>
  <si>
    <r>
      <rPr>
        <b/>
        <u/>
        <sz val="10"/>
        <color rgb="FF0070C0"/>
        <rFont val="Arial Narrow"/>
        <family val="2"/>
      </rPr>
      <t>Paso 3</t>
    </r>
    <r>
      <rPr>
        <b/>
        <sz val="10"/>
        <color rgb="FF0070C0"/>
        <rFont val="Arial Narrow"/>
        <family val="2"/>
      </rPr>
      <t>: Supuestos / Condiciones</t>
    </r>
  </si>
  <si>
    <r>
      <t xml:space="preserve">N° de kits inicio (2018)
</t>
    </r>
    <r>
      <rPr>
        <sz val="10"/>
        <color rgb="FF0070C0"/>
        <rFont val="Arial Narrow"/>
        <family val="2"/>
      </rPr>
      <t>[Unidad]</t>
    </r>
  </si>
  <si>
    <r>
      <t xml:space="preserve">N° de kits fin(2030)
</t>
    </r>
    <r>
      <rPr>
        <sz val="10"/>
        <color rgb="FF0070C0"/>
        <rFont val="Arial Narrow"/>
        <family val="2"/>
      </rPr>
      <t>[Unidad]</t>
    </r>
  </si>
  <si>
    <t>Instalación de paneles solares</t>
  </si>
  <si>
    <t>Cambio de luminarias a LED</t>
  </si>
  <si>
    <t>Instalación de calentadores solares</t>
  </si>
  <si>
    <t>- Medidas habilitantes: desarrollo de talleres (MH1) y desarrollo de auditorías (MH2). En estas medidas solo se analizan costos, puesto que no generan reducción de emisiones de GEI y son de soporte.
- Medidas de mitigación: Instalación de paneles solares, cambio de luminarias e instalación de calentadores.</t>
  </si>
  <si>
    <t>&gt; 4.5</t>
  </si>
  <si>
    <r>
      <t xml:space="preserve">Nº kits al año
</t>
    </r>
    <r>
      <rPr>
        <sz val="10"/>
        <color rgb="FF0070C0"/>
        <rFont val="Arial Narrow"/>
        <family val="2"/>
      </rPr>
      <t>[kits/año]</t>
    </r>
  </si>
  <si>
    <t>Costo de kit (panel + implementos)</t>
  </si>
  <si>
    <t>Cantidad de kits, para genera  1 MWh</t>
  </si>
  <si>
    <r>
      <t>Paso 2</t>
    </r>
    <r>
      <rPr>
        <b/>
        <sz val="10"/>
        <color rgb="FF0070C0"/>
        <rFont val="Arial Narrow"/>
        <family val="2"/>
      </rPr>
      <t>: Determinación de costos con medida y en escenario BAU (sin medida)</t>
    </r>
  </si>
  <si>
    <r>
      <t>Costos totales</t>
    </r>
    <r>
      <rPr>
        <b/>
        <sz val="10"/>
        <color rgb="FF0070C0"/>
        <rFont val="Arial Narrow"/>
        <family val="2"/>
      </rPr>
      <t xml:space="preserve"> [Miles de Soles]</t>
    </r>
  </si>
  <si>
    <r>
      <rPr>
        <b/>
        <sz val="10"/>
        <rFont val="Arial Narrow"/>
        <family val="2"/>
      </rPr>
      <t>Periodo de recuperación</t>
    </r>
    <r>
      <rPr>
        <b/>
        <sz val="10"/>
        <color rgb="FFFF0000"/>
        <rFont val="Arial Narrow"/>
        <family val="2"/>
      </rPr>
      <t xml:space="preserve"> </t>
    </r>
    <r>
      <rPr>
        <sz val="10"/>
        <color rgb="FF0070C0"/>
        <rFont val="Arial Narrow"/>
        <family val="2"/>
      </rPr>
      <t>[años]:</t>
    </r>
  </si>
  <si>
    <r>
      <t xml:space="preserve">Cantidad de luminarias a remplazar 
</t>
    </r>
    <r>
      <rPr>
        <b/>
        <sz val="10"/>
        <color rgb="FF0070C0"/>
        <rFont val="Arial Narrow"/>
        <family val="2"/>
      </rPr>
      <t>[Luminarias]</t>
    </r>
  </si>
  <si>
    <r>
      <t>Porcentaje de participación NDC</t>
    </r>
    <r>
      <rPr>
        <vertAlign val="superscript"/>
        <sz val="10"/>
        <color theme="9" tint="-0.249977111117893"/>
        <rFont val="Arial Narrow"/>
        <family val="2"/>
      </rPr>
      <t xml:space="preserve"> </t>
    </r>
  </si>
  <si>
    <r>
      <t>Costo de generación de energía</t>
    </r>
    <r>
      <rPr>
        <vertAlign val="superscript"/>
        <sz val="10"/>
        <color rgb="FFFFC000"/>
        <rFont val="Arial Narrow"/>
        <family val="2"/>
      </rPr>
      <t>1</t>
    </r>
  </si>
  <si>
    <r>
      <rPr>
        <vertAlign val="superscript"/>
        <sz val="10"/>
        <color rgb="FFFFC000"/>
        <rFont val="Arial Narrow"/>
        <family val="2"/>
      </rPr>
      <t>1</t>
    </r>
    <r>
      <rPr>
        <sz val="10"/>
        <color theme="1"/>
        <rFont val="Arial Narrow"/>
        <family val="2"/>
      </rPr>
      <t>Fuente: Pagina 109, cuadro 14 Resultados de la Primera subasta en operación generación de energía hidroelectrica
Plan Energético Nacional 2014-2025</t>
    </r>
  </si>
  <si>
    <t>Número de entidades</t>
  </si>
  <si>
    <t>Muestra de entidades públicas:</t>
  </si>
  <si>
    <r>
      <t xml:space="preserve">Cantidad de termas </t>
    </r>
    <r>
      <rPr>
        <b/>
        <sz val="10"/>
        <color theme="9" tint="-0.249977111117893"/>
        <rFont val="Arial Narrow"/>
        <family val="2"/>
      </rPr>
      <t>por entidad a remplazar</t>
    </r>
  </si>
  <si>
    <t>Se prevé el remplazo de termas tradicionales por calentadores solares en los edificios propios o alquilados</t>
  </si>
  <si>
    <t>Edificios de entidades, ubicados en zonas con potencial mayor a 4.5 KWh/m2.</t>
  </si>
  <si>
    <t>En base a una Terma de uso institucional capacidad de 250 L, recuperada de : http://www.hotmaster.com.pe/index.php/calentadores-electricos/uso-institucional</t>
  </si>
  <si>
    <r>
      <t xml:space="preserve">Potencia actual </t>
    </r>
    <r>
      <rPr>
        <vertAlign val="superscript"/>
        <sz val="10"/>
        <color theme="9" tint="-0.249977111117893"/>
        <rFont val="Arial Narrow"/>
        <family val="2"/>
      </rPr>
      <t>2</t>
    </r>
    <r>
      <rPr>
        <sz val="10"/>
        <color rgb="FF0070C0"/>
        <rFont val="Arial Narrow"/>
        <family val="2"/>
      </rPr>
      <t xml:space="preserve"> 
[KW]</t>
    </r>
  </si>
  <si>
    <t>Año inicio:</t>
  </si>
  <si>
    <t>días/año</t>
  </si>
  <si>
    <t>Potencia promedio de las termas 
(kW/calentador)</t>
  </si>
  <si>
    <r>
      <t xml:space="preserve">Energía ahorrada, </t>
    </r>
    <r>
      <rPr>
        <sz val="10"/>
        <color theme="5" tint="-0.249977111117893"/>
        <rFont val="Arial Narrow"/>
        <family val="2"/>
      </rPr>
      <t>del SEIN</t>
    </r>
    <r>
      <rPr>
        <sz val="10"/>
        <color theme="1"/>
        <rFont val="Arial Narrow"/>
        <family val="2"/>
      </rPr>
      <t xml:space="preserve">, por los calentadores solares
</t>
    </r>
    <r>
      <rPr>
        <sz val="10"/>
        <color rgb="FF0070C0"/>
        <rFont val="Arial Narrow"/>
        <family val="2"/>
      </rPr>
      <t>[MWh]</t>
    </r>
  </si>
  <si>
    <t>US$/terma de 400 L 3000 watts de potencia</t>
  </si>
  <si>
    <t>US$/calentador solar de 400 L</t>
  </si>
  <si>
    <t>Edificios públicos propios en los departamentos donde el índice de incidencia solar sea &gt; 4.5 Kwh/m2</t>
  </si>
  <si>
    <r>
      <t xml:space="preserve">Energía consumida, </t>
    </r>
    <r>
      <rPr>
        <sz val="10"/>
        <color theme="5" tint="-0.249977111117893"/>
        <rFont val="Arial Narrow"/>
        <family val="2"/>
      </rPr>
      <t>del SEIN</t>
    </r>
    <r>
      <rPr>
        <sz val="10"/>
        <color theme="1"/>
        <rFont val="Arial Narrow"/>
        <family val="2"/>
      </rPr>
      <t xml:space="preserve">, calentadores eléctricos (termas tradicionales) </t>
    </r>
    <r>
      <rPr>
        <sz val="10"/>
        <color rgb="FF0070C0"/>
        <rFont val="Arial Narrow"/>
        <family val="2"/>
      </rPr>
      <t>[MWh]</t>
    </r>
  </si>
  <si>
    <t>Factor de emisión calculado por Alwa</t>
  </si>
  <si>
    <t>Calentadores en primer año</t>
  </si>
  <si>
    <t>Línea base</t>
  </si>
  <si>
    <t>Proyecto</t>
  </si>
  <si>
    <r>
      <rPr>
        <b/>
        <sz val="10"/>
        <color theme="8" tint="-0.249977111117893"/>
        <rFont val="Arial Narrow"/>
        <family val="2"/>
      </rPr>
      <t>Edificios de entidades:</t>
    </r>
    <r>
      <rPr>
        <sz val="10"/>
        <color theme="8" tint="-0.249977111117893"/>
        <rFont val="Arial Narrow"/>
        <family val="2"/>
      </rPr>
      <t xml:space="preserve">  </t>
    </r>
    <r>
      <rPr>
        <sz val="10"/>
        <rFont val="Arial Narrow"/>
        <family val="2"/>
      </rPr>
      <t xml:space="preserve">
Implementación gradual hasta el 2030</t>
    </r>
    <r>
      <rPr>
        <sz val="10"/>
        <color rgb="FFFF0000"/>
        <rFont val="Arial Narrow"/>
        <family val="2"/>
      </rPr>
      <t xml:space="preserve">
</t>
    </r>
    <r>
      <rPr>
        <b/>
        <sz val="10"/>
        <color theme="8" tint="-0.249977111117893"/>
        <rFont val="Garamond"/>
        <family val="1"/>
      </rPr>
      <t/>
    </r>
  </si>
  <si>
    <t>Ejemplos de medidas de mitigación, planteadas en una auditoría energética</t>
  </si>
  <si>
    <t>Generación de capacidades (Desarrollo de talleres )</t>
  </si>
  <si>
    <r>
      <rPr>
        <b/>
        <sz val="10"/>
        <color theme="1"/>
        <rFont val="Arial Narrow"/>
        <family val="2"/>
      </rPr>
      <t>Medida 1.-</t>
    </r>
    <r>
      <rPr>
        <sz val="10"/>
        <color theme="1"/>
        <rFont val="Arial Narrow"/>
        <family val="2"/>
      </rPr>
      <t xml:space="preserve"> Generación de capacidades</t>
    </r>
  </si>
  <si>
    <t>Costo por HH de capacitación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</si>
</sst>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\ _S_/_._-;\-* #,##0.00\ _S_/_._-;_-* &quot;-&quot;??\ _S_/_._-;_-@_-"/>
    <numFmt numFmtId="164" formatCode="&quot;S/.&quot;#,##0.00;[Red]\-&quot;S/.&quot;#,##0.00"/>
    <numFmt numFmtId="165" formatCode="_-* #,##0.00_-;\-* #,##0.00_-;_-* &quot;-&quot;??_-;_-@_-"/>
    <numFmt numFmtId="166" formatCode="_ * #,##0.00_ ;_ * \-#,##0.00_ ;_ * &quot;-&quot;??_ ;_ @_ "/>
    <numFmt numFmtId="167" formatCode="_-* #,##0_-;\-* #,##0_-;_-* &quot;-&quot;??_-;_-@_-"/>
    <numFmt numFmtId="168" formatCode="_ * #,##0_ ;_ * \-#,##0_ ;_ * &quot;-&quot;??_ ;_ @_ "/>
    <numFmt numFmtId="169" formatCode="0.000"/>
    <numFmt numFmtId="170" formatCode="0.0"/>
    <numFmt numFmtId="171" formatCode="#,##0.0"/>
    <numFmt numFmtId="172" formatCode="_ * #,##0.0000_ ;_ * \-#,##0.0000_ ;_ * &quot;-&quot;??_ ;_ @_ "/>
    <numFmt numFmtId="173" formatCode="#,##0_ ;\-#,##0\ "/>
    <numFmt numFmtId="174" formatCode="[$$-540A]#,##0.00"/>
    <numFmt numFmtId="175" formatCode="_ * #,##0.0_ ;_ * \-#,##0.0_ ;_ * &quot;-&quot;??_ ;_ @_ "/>
    <numFmt numFmtId="176" formatCode="0.0%"/>
    <numFmt numFmtId="177" formatCode="0.00000000%"/>
    <numFmt numFmtId="178" formatCode="0.0000%"/>
    <numFmt numFmtId="179" formatCode="_ * #,##0.000_ ;_ * \-#,##0.000_ ;_ * &quot;-&quot;??_ ;_ @_ "/>
  </numFmts>
  <fonts count="8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color rgb="FF0070C0"/>
      <name val="Garamond"/>
      <family val="1"/>
    </font>
    <font>
      <sz val="10"/>
      <color indexed="8"/>
      <name val="Arial"/>
      <family val="2"/>
    </font>
    <font>
      <b/>
      <sz val="10"/>
      <color theme="8" tint="-0.249977111117893"/>
      <name val="Garamond"/>
      <family val="1"/>
    </font>
    <font>
      <sz val="12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1"/>
      <color rgb="FF002060"/>
      <name val="Arial Narrow"/>
      <family val="2"/>
    </font>
    <font>
      <i/>
      <sz val="12"/>
      <color rgb="FF0070C0"/>
      <name val="Arial Narrow"/>
      <family val="2"/>
    </font>
    <font>
      <i/>
      <sz val="12"/>
      <color rgb="FFC00000"/>
      <name val="Arial Narrow"/>
      <family val="2"/>
    </font>
    <font>
      <sz val="12"/>
      <color rgb="FF002060"/>
      <name val="Arial Narrow"/>
      <family val="2"/>
    </font>
    <font>
      <b/>
      <sz val="10"/>
      <color theme="1"/>
      <name val="Arial Narrow"/>
      <family val="2"/>
    </font>
    <font>
      <b/>
      <sz val="10"/>
      <color theme="5" tint="-0.249977111117893"/>
      <name val="Arial Narrow"/>
      <family val="2"/>
    </font>
    <font>
      <b/>
      <u/>
      <sz val="11"/>
      <color theme="1"/>
      <name val="Arial Narrow"/>
      <family val="2"/>
    </font>
    <font>
      <b/>
      <sz val="10"/>
      <color rgb="FF0070C0"/>
      <name val="Arial Narrow"/>
      <family val="2"/>
    </font>
    <font>
      <b/>
      <u/>
      <sz val="10"/>
      <color rgb="FF0070C0"/>
      <name val="Arial Narrow"/>
      <family val="2"/>
    </font>
    <font>
      <sz val="10"/>
      <color theme="5" tint="-0.249977111117893"/>
      <name val="Arial Narrow"/>
      <family val="2"/>
    </font>
    <font>
      <sz val="10"/>
      <color rgb="FFFFC000"/>
      <name val="Arial Narrow"/>
      <family val="2"/>
    </font>
    <font>
      <b/>
      <sz val="10"/>
      <name val="Arial Narrow"/>
      <family val="2"/>
    </font>
    <font>
      <b/>
      <vertAlign val="superscript"/>
      <sz val="10"/>
      <color theme="5"/>
      <name val="Arial Narrow"/>
      <family val="2"/>
    </font>
    <font>
      <sz val="10"/>
      <color rgb="FF0070C0"/>
      <name val="Arial Narrow"/>
      <family val="2"/>
    </font>
    <font>
      <sz val="10"/>
      <color theme="9" tint="-0.249977111117893"/>
      <name val="Arial Narrow"/>
      <family val="2"/>
    </font>
    <font>
      <sz val="9"/>
      <color theme="1"/>
      <name val="Arial Narrow"/>
      <family val="2"/>
    </font>
    <font>
      <b/>
      <sz val="10"/>
      <color theme="9" tint="-0.249977111117893"/>
      <name val="Arial Narrow"/>
      <family val="2"/>
    </font>
    <font>
      <b/>
      <sz val="11"/>
      <color theme="1"/>
      <name val="Arial Narrow"/>
      <family val="2"/>
    </font>
    <font>
      <b/>
      <sz val="10"/>
      <color theme="0"/>
      <name val="Arial Narrow"/>
      <family val="2"/>
    </font>
    <font>
      <vertAlign val="superscript"/>
      <sz val="10"/>
      <color theme="5" tint="-0.249977111117893"/>
      <name val="Arial Narrow"/>
      <family val="2"/>
    </font>
    <font>
      <vertAlign val="subscript"/>
      <sz val="10"/>
      <color rgb="FF0070C0"/>
      <name val="Arial Narrow"/>
      <family val="2"/>
    </font>
    <font>
      <sz val="10"/>
      <color theme="0" tint="-0.249977111117893"/>
      <name val="Arial Narrow"/>
      <family val="2"/>
    </font>
    <font>
      <sz val="10"/>
      <color theme="0" tint="-0.14999847407452621"/>
      <name val="Arial Narrow"/>
      <family val="2"/>
    </font>
    <font>
      <sz val="12"/>
      <color theme="1"/>
      <name val="Arial Narrow"/>
      <family val="2"/>
    </font>
    <font>
      <i/>
      <sz val="12"/>
      <color theme="1"/>
      <name val="Arial Narrow"/>
      <family val="2"/>
    </font>
    <font>
      <vertAlign val="superscript"/>
      <sz val="10"/>
      <color theme="1"/>
      <name val="Arial Narrow"/>
      <family val="2"/>
    </font>
    <font>
      <vertAlign val="superscript"/>
      <sz val="10"/>
      <color theme="9" tint="-0.249977111117893"/>
      <name val="Arial Narrow"/>
      <family val="2"/>
    </font>
    <font>
      <b/>
      <sz val="10"/>
      <color rgb="FFFF0000"/>
      <name val="Arial Narrow"/>
      <family val="2"/>
    </font>
    <font>
      <b/>
      <u/>
      <sz val="10"/>
      <name val="Arial Narrow"/>
      <family val="2"/>
    </font>
    <font>
      <sz val="10"/>
      <color theme="9" tint="-0.499984740745262"/>
      <name val="Arial Narrow"/>
      <family val="2"/>
    </font>
    <font>
      <i/>
      <sz val="10"/>
      <color rgb="FF0070C0"/>
      <name val="Arial Narrow"/>
      <family val="2"/>
    </font>
    <font>
      <b/>
      <sz val="10"/>
      <color theme="9" tint="-0.499984740745262"/>
      <name val="Arial Narrow"/>
      <family val="2"/>
    </font>
    <font>
      <b/>
      <sz val="10"/>
      <color indexed="8"/>
      <name val="Arial Narrow"/>
      <family val="2"/>
    </font>
    <font>
      <sz val="9"/>
      <color rgb="FF000000"/>
      <name val="Arial Narrow"/>
      <family val="2"/>
    </font>
    <font>
      <sz val="9"/>
      <color rgb="FF0070C0"/>
      <name val="Arial Narrow"/>
      <family val="2"/>
    </font>
    <font>
      <vertAlign val="subscript"/>
      <sz val="9"/>
      <color rgb="FF0070C0"/>
      <name val="Arial Narrow"/>
      <family val="2"/>
    </font>
    <font>
      <sz val="10"/>
      <color indexed="8"/>
      <name val="Arial Narrow"/>
      <family val="2"/>
    </font>
    <font>
      <b/>
      <vertAlign val="superscript"/>
      <sz val="10"/>
      <color theme="9" tint="-0.249977111117893"/>
      <name val="Arial Narrow"/>
      <family val="2"/>
    </font>
    <font>
      <vertAlign val="superscript"/>
      <sz val="11"/>
      <color theme="9" tint="-0.249977111117893"/>
      <name val="Arial Narrow"/>
      <family val="2"/>
    </font>
    <font>
      <b/>
      <sz val="10"/>
      <color theme="8" tint="-0.249977111117893"/>
      <name val="Arial Narrow"/>
      <family val="2"/>
    </font>
    <font>
      <sz val="10"/>
      <color theme="8" tint="-0.249977111117893"/>
      <name val="Arial Narrow"/>
      <family val="2"/>
    </font>
    <font>
      <sz val="10"/>
      <color rgb="FFFF0000"/>
      <name val="Arial Narrow"/>
      <family val="2"/>
    </font>
    <font>
      <sz val="11"/>
      <color theme="9" tint="-0.249977111117893"/>
      <name val="Arial Narrow"/>
      <family val="2"/>
    </font>
    <font>
      <i/>
      <sz val="11"/>
      <color theme="1"/>
      <name val="Arial Narrow"/>
      <family val="2"/>
    </font>
    <font>
      <b/>
      <vertAlign val="superscript"/>
      <sz val="11"/>
      <color theme="9" tint="-0.249977111117893"/>
      <name val="Arial Narrow"/>
      <family val="2"/>
    </font>
    <font>
      <sz val="11"/>
      <color rgb="FF0070C0"/>
      <name val="Arial Narrow"/>
      <family val="2"/>
    </font>
    <font>
      <sz val="10"/>
      <color theme="9" tint="0.39997558519241921"/>
      <name val="Arial Narrow"/>
      <family val="2"/>
    </font>
    <font>
      <vertAlign val="superscript"/>
      <sz val="10"/>
      <color theme="9" tint="0.39994506668294322"/>
      <name val="Arial Narrow"/>
      <family val="2"/>
    </font>
    <font>
      <sz val="10"/>
      <color theme="5" tint="0.39997558519241921"/>
      <name val="Arial Narrow"/>
      <family val="2"/>
    </font>
    <font>
      <vertAlign val="subscript"/>
      <sz val="11"/>
      <color theme="1"/>
      <name val="Arial Narrow"/>
      <family val="2"/>
    </font>
    <font>
      <i/>
      <vertAlign val="subscript"/>
      <sz val="12"/>
      <color theme="1"/>
      <name val="Arial Narrow"/>
      <family val="2"/>
    </font>
    <font>
      <vertAlign val="subscript"/>
      <sz val="12"/>
      <color theme="1"/>
      <name val="Arial Narrow"/>
      <family val="2"/>
    </font>
    <font>
      <vertAlign val="superscript"/>
      <sz val="13.2"/>
      <color theme="1"/>
      <name val="Arial Narrow"/>
      <family val="2"/>
    </font>
    <font>
      <i/>
      <sz val="10"/>
      <color theme="1"/>
      <name val="Arial Narrow"/>
      <family val="2"/>
    </font>
    <font>
      <i/>
      <sz val="11"/>
      <color rgb="FF0070C0"/>
      <name val="Arial Narrow"/>
      <family val="2"/>
    </font>
    <font>
      <i/>
      <vertAlign val="subscript"/>
      <sz val="11"/>
      <color theme="1"/>
      <name val="Arial Narrow"/>
      <family val="2"/>
    </font>
    <font>
      <b/>
      <u/>
      <sz val="10"/>
      <color theme="1"/>
      <name val="Arial Narrow"/>
      <family val="2"/>
    </font>
    <font>
      <u/>
      <sz val="10"/>
      <color theme="9" tint="-0.249977111117893"/>
      <name val="Arial Narrow"/>
      <family val="2"/>
    </font>
    <font>
      <i/>
      <vertAlign val="subscript"/>
      <sz val="10"/>
      <color theme="9" tint="-0.249977111117893"/>
      <name val="Arial Narrow"/>
      <family val="2"/>
    </font>
    <font>
      <sz val="12"/>
      <color rgb="FF0070C0"/>
      <name val="Arial Narrow"/>
      <family val="2"/>
    </font>
    <font>
      <i/>
      <vertAlign val="subscript"/>
      <sz val="12"/>
      <color rgb="FF0070C0"/>
      <name val="Arial Narrow"/>
      <family val="2"/>
    </font>
    <font>
      <i/>
      <sz val="11"/>
      <color theme="9" tint="-0.249977111117893"/>
      <name val="Arial Narrow"/>
      <family val="2"/>
    </font>
    <font>
      <i/>
      <vertAlign val="subscript"/>
      <sz val="11"/>
      <color theme="9" tint="-0.249977111117893"/>
      <name val="Arial Narrow"/>
      <family val="2"/>
    </font>
    <font>
      <vertAlign val="subscript"/>
      <sz val="12"/>
      <color rgb="FF0070C0"/>
      <name val="Arial Narrow"/>
      <family val="2"/>
    </font>
    <font>
      <i/>
      <vertAlign val="subscript"/>
      <sz val="11"/>
      <color rgb="FF0070C0"/>
      <name val="Arial Narrow"/>
      <family val="2"/>
    </font>
    <font>
      <i/>
      <vertAlign val="subscript"/>
      <sz val="10"/>
      <color rgb="FF0070C0"/>
      <name val="Arial Narrow"/>
      <family val="2"/>
    </font>
    <font>
      <vertAlign val="subscript"/>
      <sz val="10"/>
      <color theme="1"/>
      <name val="Arial Narrow"/>
      <family val="2"/>
    </font>
    <font>
      <i/>
      <sz val="11"/>
      <name val="Arial Narrow"/>
      <family val="2"/>
    </font>
    <font>
      <sz val="10"/>
      <color theme="0"/>
      <name val="Arial Narrow"/>
      <family val="2"/>
    </font>
    <font>
      <vertAlign val="superscript"/>
      <sz val="10"/>
      <color rgb="FFFFC000"/>
      <name val="Arial Narrow"/>
      <family val="2"/>
    </font>
    <font>
      <b/>
      <sz val="16"/>
      <color theme="9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7999816888943144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thin">
        <color indexed="64"/>
      </left>
      <right style="medium">
        <color theme="8" tint="0.59996337778862885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8" tint="0.59996337778862885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 style="thin">
        <color auto="1"/>
      </left>
      <right style="thin">
        <color auto="1"/>
      </right>
      <top style="medium">
        <color rgb="FFFFC000"/>
      </top>
      <bottom style="thin">
        <color auto="1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4" fillId="0" borderId="0"/>
  </cellStyleXfs>
  <cellXfs count="485">
    <xf numFmtId="0" fontId="0" fillId="0" borderId="0" xfId="0"/>
    <xf numFmtId="0" fontId="9" fillId="2" borderId="0" xfId="0" applyFont="1" applyFill="1"/>
    <xf numFmtId="0" fontId="10" fillId="2" borderId="0" xfId="0" applyFont="1" applyFill="1"/>
    <xf numFmtId="0" fontId="12" fillId="2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9" fillId="2" borderId="36" xfId="0" applyFont="1" applyFill="1" applyBorder="1"/>
    <xf numFmtId="0" fontId="17" fillId="6" borderId="0" xfId="0" applyFont="1" applyFill="1"/>
    <xf numFmtId="0" fontId="9" fillId="6" borderId="0" xfId="0" applyFont="1" applyFill="1"/>
    <xf numFmtId="0" fontId="10" fillId="6" borderId="0" xfId="0" applyFont="1" applyFill="1"/>
    <xf numFmtId="0" fontId="18" fillId="2" borderId="0" xfId="0" applyFont="1" applyFill="1"/>
    <xf numFmtId="0" fontId="19" fillId="2" borderId="0" xfId="0" applyFont="1" applyFill="1"/>
    <xf numFmtId="0" fontId="9" fillId="2" borderId="0" xfId="0" applyFont="1" applyFill="1" applyAlignment="1">
      <alignment vertical="top"/>
    </xf>
    <xf numFmtId="0" fontId="19" fillId="2" borderId="0" xfId="0" applyFont="1" applyFill="1" applyAlignment="1">
      <alignment vertical="center"/>
    </xf>
    <xf numFmtId="0" fontId="9" fillId="2" borderId="0" xfId="0" applyFont="1" applyFill="1" applyAlignment="1">
      <alignment vertical="top" wrapText="1"/>
    </xf>
    <xf numFmtId="0" fontId="9" fillId="2" borderId="0" xfId="0" applyFont="1" applyFill="1" applyAlignment="1">
      <alignment horizontal="left" vertical="top" wrapText="1"/>
    </xf>
    <xf numFmtId="0" fontId="9" fillId="5" borderId="0" xfId="0" applyFont="1" applyFill="1"/>
    <xf numFmtId="9" fontId="17" fillId="6" borderId="0" xfId="3" applyFont="1" applyFill="1"/>
    <xf numFmtId="0" fontId="9" fillId="2" borderId="0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4" fontId="2" fillId="2" borderId="4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left" vertical="top"/>
    </xf>
    <xf numFmtId="4" fontId="2" fillId="2" borderId="5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24" xfId="0" applyFont="1" applyFill="1" applyBorder="1" applyAlignment="1">
      <alignment horizontal="center" wrapText="1"/>
    </xf>
    <xf numFmtId="0" fontId="9" fillId="2" borderId="27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10" fillId="2" borderId="0" xfId="0" applyFont="1" applyFill="1" applyBorder="1"/>
    <xf numFmtId="0" fontId="9" fillId="2" borderId="5" xfId="0" applyFont="1" applyFill="1" applyBorder="1"/>
    <xf numFmtId="0" fontId="9" fillId="2" borderId="8" xfId="0" applyFont="1" applyFill="1" applyBorder="1"/>
    <xf numFmtId="173" fontId="25" fillId="2" borderId="8" xfId="4" applyNumberFormat="1" applyFont="1" applyFill="1" applyBorder="1" applyAlignment="1">
      <alignment horizontal="center"/>
    </xf>
    <xf numFmtId="4" fontId="9" fillId="2" borderId="4" xfId="0" applyNumberFormat="1" applyFont="1" applyFill="1" applyBorder="1"/>
    <xf numFmtId="4" fontId="9" fillId="2" borderId="18" xfId="0" applyNumberFormat="1" applyFont="1" applyFill="1" applyBorder="1"/>
    <xf numFmtId="9" fontId="9" fillId="2" borderId="27" xfId="2" applyFont="1" applyFill="1" applyBorder="1"/>
    <xf numFmtId="9" fontId="9" fillId="2" borderId="0" xfId="2" applyFont="1" applyFill="1" applyBorder="1"/>
    <xf numFmtId="4" fontId="9" fillId="2" borderId="0" xfId="2" applyNumberFormat="1" applyFont="1" applyFill="1" applyBorder="1"/>
    <xf numFmtId="4" fontId="9" fillId="2" borderId="5" xfId="0" applyNumberFormat="1" applyFont="1" applyFill="1" applyBorder="1" applyAlignment="1">
      <alignment horizontal="right"/>
    </xf>
    <xf numFmtId="2" fontId="10" fillId="2" borderId="0" xfId="0" applyNumberFormat="1" applyFont="1" applyFill="1"/>
    <xf numFmtId="0" fontId="15" fillId="2" borderId="5" xfId="0" applyFont="1" applyFill="1" applyBorder="1"/>
    <xf numFmtId="4" fontId="15" fillId="2" borderId="5" xfId="0" applyNumberFormat="1" applyFont="1" applyFill="1" applyBorder="1"/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right" wrapText="1"/>
    </xf>
    <xf numFmtId="0" fontId="9" fillId="2" borderId="2" xfId="0" applyFont="1" applyFill="1" applyBorder="1" applyAlignment="1">
      <alignment horizontal="right" vertical="center" wrapText="1"/>
    </xf>
    <xf numFmtId="1" fontId="9" fillId="2" borderId="36" xfId="0" applyNumberFormat="1" applyFont="1" applyFill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 wrapText="1"/>
    </xf>
    <xf numFmtId="0" fontId="26" fillId="2" borderId="0" xfId="0" applyFont="1" applyFill="1" applyAlignment="1">
      <alignment vertical="top"/>
    </xf>
    <xf numFmtId="0" fontId="9" fillId="2" borderId="5" xfId="0" applyFont="1" applyFill="1" applyBorder="1" applyAlignment="1">
      <alignment horizontal="right" vertical="center" wrapText="1"/>
    </xf>
    <xf numFmtId="167" fontId="9" fillId="2" borderId="4" xfId="1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10" fontId="9" fillId="2" borderId="5" xfId="2" applyNumberFormat="1" applyFont="1" applyFill="1" applyBorder="1" applyAlignment="1">
      <alignment vertical="center"/>
    </xf>
    <xf numFmtId="0" fontId="9" fillId="2" borderId="9" xfId="0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left" vertical="center" wrapText="1"/>
    </xf>
    <xf numFmtId="4" fontId="9" fillId="0" borderId="4" xfId="0" applyNumberFormat="1" applyFont="1" applyFill="1" applyBorder="1"/>
    <xf numFmtId="0" fontId="9" fillId="2" borderId="22" xfId="0" applyFont="1" applyFill="1" applyBorder="1" applyAlignment="1">
      <alignment horizontal="right" vertical="center" wrapText="1"/>
    </xf>
    <xf numFmtId="0" fontId="9" fillId="2" borderId="36" xfId="0" applyFont="1" applyFill="1" applyBorder="1" applyAlignment="1">
      <alignment horizontal="right" vertical="center" wrapText="1"/>
    </xf>
    <xf numFmtId="0" fontId="9" fillId="2" borderId="23" xfId="0" applyFont="1" applyFill="1" applyBorder="1" applyAlignment="1">
      <alignment vertical="center"/>
    </xf>
    <xf numFmtId="0" fontId="9" fillId="2" borderId="5" xfId="0" applyFont="1" applyFill="1" applyBorder="1" applyAlignment="1">
      <alignment horizontal="right"/>
    </xf>
    <xf numFmtId="4" fontId="9" fillId="2" borderId="5" xfId="0" applyNumberFormat="1" applyFont="1" applyFill="1" applyBorder="1"/>
    <xf numFmtId="0" fontId="9" fillId="2" borderId="5" xfId="0" applyFont="1" applyFill="1" applyBorder="1" applyAlignment="1">
      <alignment horizontal="right" wrapText="1"/>
    </xf>
    <xf numFmtId="9" fontId="9" fillId="2" borderId="36" xfId="0" applyNumberFormat="1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/>
    </xf>
    <xf numFmtId="49" fontId="9" fillId="2" borderId="5" xfId="0" applyNumberFormat="1" applyFont="1" applyFill="1" applyBorder="1" applyAlignment="1">
      <alignment horizontal="left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15" fillId="2" borderId="24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4" fontId="9" fillId="2" borderId="27" xfId="0" applyNumberFormat="1" applyFont="1" applyFill="1" applyBorder="1"/>
    <xf numFmtId="4" fontId="9" fillId="2" borderId="5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center"/>
    </xf>
    <xf numFmtId="0" fontId="2" fillId="2" borderId="5" xfId="0" applyFont="1" applyFill="1" applyBorder="1" applyAlignment="1">
      <alignment vertical="center" wrapText="1"/>
    </xf>
    <xf numFmtId="9" fontId="9" fillId="2" borderId="9" xfId="1" applyNumberFormat="1" applyFont="1" applyFill="1" applyBorder="1" applyAlignment="1">
      <alignment vertical="center"/>
    </xf>
    <xf numFmtId="3" fontId="9" fillId="2" borderId="36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2" borderId="4" xfId="0" applyFont="1" applyFill="1" applyBorder="1"/>
    <xf numFmtId="10" fontId="10" fillId="2" borderId="0" xfId="2" applyNumberFormat="1" applyFont="1" applyFill="1"/>
    <xf numFmtId="0" fontId="9" fillId="0" borderId="0" xfId="0" applyFont="1"/>
    <xf numFmtId="0" fontId="28" fillId="2" borderId="0" xfId="0" applyFont="1" applyFill="1"/>
    <xf numFmtId="0" fontId="9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3" fontId="9" fillId="2" borderId="0" xfId="0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166" fontId="2" fillId="2" borderId="0" xfId="4" applyFont="1" applyFill="1" applyBorder="1" applyAlignment="1">
      <alignment horizontal="right" vertical="center" wrapText="1"/>
    </xf>
    <xf numFmtId="0" fontId="9" fillId="2" borderId="0" xfId="0" applyFont="1" applyFill="1" applyBorder="1" applyAlignment="1" applyProtection="1">
      <alignment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/>
    </xf>
    <xf numFmtId="173" fontId="2" fillId="2" borderId="36" xfId="4" applyNumberFormat="1" applyFont="1" applyFill="1" applyBorder="1" applyAlignment="1">
      <alignment horizontal="center" vertical="center"/>
    </xf>
    <xf numFmtId="4" fontId="9" fillId="2" borderId="36" xfId="0" applyNumberFormat="1" applyFont="1" applyFill="1" applyBorder="1" applyAlignment="1">
      <alignment vertical="center"/>
    </xf>
    <xf numFmtId="3" fontId="9" fillId="2" borderId="19" xfId="0" applyNumberFormat="1" applyFont="1" applyFill="1" applyBorder="1" applyAlignment="1">
      <alignment vertical="center"/>
    </xf>
    <xf numFmtId="9" fontId="9" fillId="2" borderId="4" xfId="2" applyFont="1" applyFill="1" applyBorder="1" applyAlignment="1">
      <alignment vertical="center"/>
    </xf>
    <xf numFmtId="4" fontId="9" fillId="2" borderId="4" xfId="2" applyNumberFormat="1" applyFont="1" applyFill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4" fontId="9" fillId="2" borderId="4" xfId="0" applyNumberFormat="1" applyFont="1" applyFill="1" applyBorder="1" applyAlignment="1">
      <alignment vertical="center"/>
    </xf>
    <xf numFmtId="168" fontId="2" fillId="2" borderId="4" xfId="4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166" fontId="9" fillId="5" borderId="0" xfId="4" applyFont="1" applyFill="1"/>
    <xf numFmtId="0" fontId="15" fillId="2" borderId="0" xfId="0" applyFont="1" applyFill="1"/>
    <xf numFmtId="166" fontId="9" fillId="2" borderId="0" xfId="4" applyFont="1" applyFill="1"/>
    <xf numFmtId="0" fontId="15" fillId="2" borderId="20" xfId="0" applyFont="1" applyFill="1" applyBorder="1" applyAlignment="1"/>
    <xf numFmtId="0" fontId="15" fillId="2" borderId="0" xfId="0" applyFont="1" applyFill="1" applyBorder="1" applyAlignment="1"/>
    <xf numFmtId="0" fontId="9" fillId="2" borderId="4" xfId="0" applyFont="1" applyFill="1" applyBorder="1" applyAlignment="1">
      <alignment horizontal="right" vertical="center"/>
    </xf>
    <xf numFmtId="1" fontId="9" fillId="2" borderId="4" xfId="0" applyNumberFormat="1" applyFont="1" applyFill="1" applyBorder="1" applyAlignment="1">
      <alignment horizontal="right" vertical="center"/>
    </xf>
    <xf numFmtId="4" fontId="9" fillId="2" borderId="4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165" fontId="9" fillId="2" borderId="4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1" fontId="9" fillId="2" borderId="5" xfId="0" applyNumberFormat="1" applyFont="1" applyFill="1" applyBorder="1" applyAlignment="1">
      <alignment horizontal="right" vertical="center"/>
    </xf>
    <xf numFmtId="4" fontId="9" fillId="2" borderId="5" xfId="0" applyNumberFormat="1" applyFont="1" applyFill="1" applyBorder="1" applyAlignment="1">
      <alignment horizontal="right" vertical="center"/>
    </xf>
    <xf numFmtId="2" fontId="9" fillId="2" borderId="5" xfId="0" applyNumberFormat="1" applyFont="1" applyFill="1" applyBorder="1" applyAlignment="1">
      <alignment horizontal="right" vertical="center"/>
    </xf>
    <xf numFmtId="165" fontId="9" fillId="2" borderId="5" xfId="0" applyNumberFormat="1" applyFont="1" applyFill="1" applyBorder="1" applyAlignment="1">
      <alignment horizontal="right" vertical="center"/>
    </xf>
    <xf numFmtId="0" fontId="9" fillId="2" borderId="21" xfId="0" applyFont="1" applyFill="1" applyBorder="1" applyAlignment="1">
      <alignment horizontal="center" vertical="center" wrapText="1"/>
    </xf>
    <xf numFmtId="0" fontId="32" fillId="2" borderId="22" xfId="0" applyFont="1" applyFill="1" applyBorder="1" applyAlignment="1">
      <alignment horizontal="center" vertical="center"/>
    </xf>
    <xf numFmtId="4" fontId="32" fillId="4" borderId="5" xfId="0" applyNumberFormat="1" applyFont="1" applyFill="1" applyBorder="1" applyAlignment="1">
      <alignment horizontal="right" vertical="center"/>
    </xf>
    <xf numFmtId="166" fontId="32" fillId="4" borderId="4" xfId="4" applyFont="1" applyFill="1" applyBorder="1"/>
    <xf numFmtId="0" fontId="9" fillId="0" borderId="0" xfId="0" applyFont="1" applyFill="1" applyBorder="1"/>
    <xf numFmtId="0" fontId="9" fillId="2" borderId="22" xfId="0" applyFont="1" applyFill="1" applyBorder="1" applyAlignment="1">
      <alignment horizontal="center" vertical="center"/>
    </xf>
    <xf numFmtId="166" fontId="9" fillId="2" borderId="5" xfId="4" applyFont="1" applyFill="1" applyBorder="1"/>
    <xf numFmtId="166" fontId="9" fillId="2" borderId="23" xfId="4" applyFont="1" applyFill="1" applyBorder="1"/>
    <xf numFmtId="166" fontId="2" fillId="2" borderId="5" xfId="4" applyFont="1" applyFill="1" applyBorder="1"/>
    <xf numFmtId="165" fontId="9" fillId="2" borderId="0" xfId="0" applyNumberFormat="1" applyFont="1" applyFill="1"/>
    <xf numFmtId="165" fontId="9" fillId="2" borderId="5" xfId="0" applyNumberFormat="1" applyFont="1" applyFill="1" applyBorder="1"/>
    <xf numFmtId="4" fontId="2" fillId="2" borderId="5" xfId="0" applyNumberFormat="1" applyFont="1" applyFill="1" applyBorder="1"/>
    <xf numFmtId="4" fontId="9" fillId="2" borderId="0" xfId="0" applyNumberFormat="1" applyFont="1" applyFill="1" applyBorder="1"/>
    <xf numFmtId="0" fontId="33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right"/>
    </xf>
    <xf numFmtId="166" fontId="9" fillId="2" borderId="0" xfId="0" applyNumberFormat="1" applyFont="1" applyFill="1"/>
    <xf numFmtId="164" fontId="9" fillId="2" borderId="0" xfId="0" applyNumberFormat="1" applyFont="1" applyFill="1"/>
    <xf numFmtId="0" fontId="9" fillId="2" borderId="8" xfId="0" applyFont="1" applyFill="1" applyBorder="1" applyAlignment="1">
      <alignment horizontal="right" vertical="center" wrapText="1"/>
    </xf>
    <xf numFmtId="9" fontId="9" fillId="2" borderId="8" xfId="0" applyNumberFormat="1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166" fontId="9" fillId="2" borderId="5" xfId="4" applyFont="1" applyFill="1" applyBorder="1" applyAlignment="1">
      <alignment vertical="center"/>
    </xf>
    <xf numFmtId="4" fontId="9" fillId="2" borderId="0" xfId="0" applyNumberFormat="1" applyFont="1" applyFill="1"/>
    <xf numFmtId="166" fontId="9" fillId="2" borderId="5" xfId="4" applyFont="1" applyFill="1" applyBorder="1" applyAlignment="1">
      <alignment horizontal="center" vertical="center"/>
    </xf>
    <xf numFmtId="0" fontId="9" fillId="2" borderId="9" xfId="4" applyNumberFormat="1" applyFont="1" applyFill="1" applyBorder="1" applyAlignment="1">
      <alignment horizontal="left" vertical="center" wrapText="1"/>
    </xf>
    <xf numFmtId="0" fontId="9" fillId="2" borderId="5" xfId="4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wrapText="1"/>
    </xf>
    <xf numFmtId="9" fontId="9" fillId="2" borderId="36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169" fontId="9" fillId="2" borderId="36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174" fontId="9" fillId="2" borderId="36" xfId="0" applyNumberFormat="1" applyFont="1" applyFill="1" applyBorder="1" applyAlignment="1">
      <alignment vertical="center"/>
    </xf>
    <xf numFmtId="0" fontId="9" fillId="2" borderId="4" xfId="0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9" fontId="9" fillId="2" borderId="0" xfId="0" applyNumberFormat="1" applyFont="1" applyFill="1" applyBorder="1" applyAlignment="1">
      <alignment vertical="center"/>
    </xf>
    <xf numFmtId="0" fontId="38" fillId="2" borderId="0" xfId="0" applyFont="1" applyFill="1"/>
    <xf numFmtId="0" fontId="2" fillId="2" borderId="20" xfId="0" applyFont="1" applyFill="1" applyBorder="1" applyAlignment="1">
      <alignment horizontal="left" vertical="center"/>
    </xf>
    <xf numFmtId="0" fontId="40" fillId="2" borderId="0" xfId="0" applyFont="1" applyFill="1" applyBorder="1" applyAlignment="1">
      <alignment horizontal="center" vertical="center" wrapText="1"/>
    </xf>
    <xf numFmtId="0" fontId="9" fillId="0" borderId="0" xfId="5" applyFont="1" applyAlignment="1"/>
    <xf numFmtId="0" fontId="9" fillId="2" borderId="29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0" fillId="2" borderId="31" xfId="0" applyFont="1" applyFill="1" applyBorder="1" applyAlignment="1">
      <alignment horizontal="center" vertical="center" wrapText="1"/>
    </xf>
    <xf numFmtId="0" fontId="40" fillId="2" borderId="24" xfId="0" applyFont="1" applyFill="1" applyBorder="1" applyAlignment="1">
      <alignment horizontal="center" vertical="center" wrapText="1"/>
    </xf>
    <xf numFmtId="0" fontId="40" fillId="2" borderId="25" xfId="0" applyFont="1" applyFill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/>
    </xf>
    <xf numFmtId="1" fontId="33" fillId="0" borderId="10" xfId="0" applyNumberFormat="1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170" fontId="33" fillId="0" borderId="1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166" fontId="9" fillId="0" borderId="10" xfId="4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 wrapText="1"/>
    </xf>
    <xf numFmtId="166" fontId="2" fillId="0" borderId="0" xfId="4" applyFont="1" applyFill="1"/>
    <xf numFmtId="0" fontId="40" fillId="0" borderId="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center" vertical="center"/>
    </xf>
    <xf numFmtId="3" fontId="43" fillId="0" borderId="33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171" fontId="43" fillId="0" borderId="33" xfId="0" applyNumberFormat="1" applyFont="1" applyBorder="1" applyAlignment="1">
      <alignment horizontal="center" vertical="center"/>
    </xf>
    <xf numFmtId="4" fontId="43" fillId="0" borderId="3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4" fillId="0" borderId="2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5" fontId="9" fillId="2" borderId="4" xfId="1" applyFont="1" applyFill="1" applyBorder="1"/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5" fontId="9" fillId="2" borderId="5" xfId="1" applyFont="1" applyFill="1" applyBorder="1"/>
    <xf numFmtId="0" fontId="45" fillId="0" borderId="0" xfId="0" applyFont="1"/>
    <xf numFmtId="0" fontId="43" fillId="0" borderId="5" xfId="0" applyFont="1" applyBorder="1" applyAlignment="1">
      <alignment horizontal="right" vertical="center"/>
    </xf>
    <xf numFmtId="166" fontId="43" fillId="0" borderId="5" xfId="4" applyFont="1" applyBorder="1" applyAlignment="1">
      <alignment vertical="center"/>
    </xf>
    <xf numFmtId="0" fontId="15" fillId="0" borderId="5" xfId="0" applyFont="1" applyBorder="1" applyAlignment="1">
      <alignment horizontal="right"/>
    </xf>
    <xf numFmtId="165" fontId="15" fillId="0" borderId="5" xfId="1" applyFont="1" applyBorder="1"/>
    <xf numFmtId="0" fontId="9" fillId="0" borderId="0" xfId="5" applyFont="1" applyAlignment="1">
      <alignment horizontal="right" vertical="center"/>
    </xf>
    <xf numFmtId="166" fontId="2" fillId="0" borderId="0" xfId="4" applyFont="1" applyFill="1" applyAlignment="1">
      <alignment horizontal="left" vertical="center"/>
    </xf>
    <xf numFmtId="0" fontId="24" fillId="0" borderId="0" xfId="0" applyFont="1"/>
    <xf numFmtId="0" fontId="17" fillId="2" borderId="0" xfId="0" applyFont="1" applyFill="1"/>
    <xf numFmtId="0" fontId="17" fillId="5" borderId="0" xfId="0" applyFont="1" applyFill="1"/>
    <xf numFmtId="0" fontId="47" fillId="2" borderId="0" xfId="6" applyFont="1" applyFill="1" applyAlignment="1">
      <alignment horizontal="right" vertical="center"/>
    </xf>
    <xf numFmtId="0" fontId="47" fillId="2" borderId="0" xfId="6" applyFont="1" applyFill="1" applyAlignment="1">
      <alignment horizontal="left" vertical="center"/>
    </xf>
    <xf numFmtId="0" fontId="24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/>
    <xf numFmtId="4" fontId="22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/>
    <xf numFmtId="166" fontId="9" fillId="5" borderId="0" xfId="4" applyFont="1" applyFill="1" applyAlignment="1"/>
    <xf numFmtId="166" fontId="9" fillId="2" borderId="0" xfId="4" applyFont="1" applyFill="1" applyAlignment="1"/>
    <xf numFmtId="168" fontId="9" fillId="2" borderId="4" xfId="4" applyNumberFormat="1" applyFont="1" applyFill="1" applyBorder="1"/>
    <xf numFmtId="178" fontId="9" fillId="2" borderId="18" xfId="3" applyNumberFormat="1" applyFont="1" applyFill="1" applyBorder="1"/>
    <xf numFmtId="0" fontId="9" fillId="2" borderId="36" xfId="0" applyFont="1" applyFill="1" applyBorder="1" applyAlignment="1">
      <alignment horizontal="right"/>
    </xf>
    <xf numFmtId="175" fontId="9" fillId="2" borderId="36" xfId="4" applyNumberFormat="1" applyFont="1" applyFill="1" applyBorder="1" applyAlignment="1">
      <alignment horizontal="right"/>
    </xf>
    <xf numFmtId="4" fontId="9" fillId="2" borderId="8" xfId="0" applyNumberFormat="1" applyFont="1" applyFill="1" applyBorder="1"/>
    <xf numFmtId="4" fontId="9" fillId="2" borderId="16" xfId="0" applyNumberFormat="1" applyFont="1" applyFill="1" applyBorder="1"/>
    <xf numFmtId="168" fontId="9" fillId="2" borderId="5" xfId="4" applyNumberFormat="1" applyFont="1" applyFill="1" applyBorder="1"/>
    <xf numFmtId="178" fontId="9" fillId="2" borderId="22" xfId="3" applyNumberFormat="1" applyFont="1" applyFill="1" applyBorder="1"/>
    <xf numFmtId="168" fontId="9" fillId="2" borderId="0" xfId="4" applyNumberFormat="1" applyFont="1" applyFill="1" applyBorder="1"/>
    <xf numFmtId="178" fontId="9" fillId="2" borderId="0" xfId="3" applyNumberFormat="1" applyFont="1" applyFill="1"/>
    <xf numFmtId="175" fontId="9" fillId="2" borderId="0" xfId="4" applyNumberFormat="1" applyFont="1" applyFill="1" applyAlignment="1">
      <alignment horizontal="right"/>
    </xf>
    <xf numFmtId="0" fontId="15" fillId="2" borderId="0" xfId="0" applyFont="1" applyFill="1" applyBorder="1"/>
    <xf numFmtId="166" fontId="9" fillId="2" borderId="0" xfId="4" applyFont="1" applyFill="1" applyAlignment="1">
      <alignment horizontal="center" vertical="center"/>
    </xf>
    <xf numFmtId="0" fontId="9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vertical="center"/>
    </xf>
    <xf numFmtId="0" fontId="9" fillId="2" borderId="0" xfId="0" applyFont="1" applyFill="1" applyAlignment="1">
      <alignment horizontal="right"/>
    </xf>
    <xf numFmtId="166" fontId="9" fillId="2" borderId="0" xfId="4" applyFont="1" applyFill="1" applyAlignment="1">
      <alignment vertical="center"/>
    </xf>
    <xf numFmtId="0" fontId="9" fillId="2" borderId="4" xfId="0" applyFont="1" applyFill="1" applyBorder="1" applyAlignment="1">
      <alignment wrapText="1"/>
    </xf>
    <xf numFmtId="3" fontId="9" fillId="2" borderId="4" xfId="0" applyNumberFormat="1" applyFont="1" applyFill="1" applyBorder="1"/>
    <xf numFmtId="0" fontId="9" fillId="2" borderId="9" xfId="0" applyFont="1" applyFill="1" applyBorder="1"/>
    <xf numFmtId="3" fontId="9" fillId="2" borderId="10" xfId="0" applyNumberFormat="1" applyFont="1" applyFill="1" applyBorder="1"/>
    <xf numFmtId="4" fontId="9" fillId="2" borderId="9" xfId="0" applyNumberFormat="1" applyFont="1" applyFill="1" applyBorder="1"/>
    <xf numFmtId="0" fontId="9" fillId="2" borderId="6" xfId="0" applyFont="1" applyFill="1" applyBorder="1"/>
    <xf numFmtId="3" fontId="9" fillId="2" borderId="0" xfId="0" applyNumberFormat="1" applyFont="1" applyFill="1" applyBorder="1"/>
    <xf numFmtId="0" fontId="9" fillId="2" borderId="4" xfId="0" applyFont="1" applyFill="1" applyBorder="1" applyAlignment="1">
      <alignment horizontal="right"/>
    </xf>
    <xf numFmtId="2" fontId="9" fillId="5" borderId="0" xfId="0" applyNumberFormat="1" applyFont="1" applyFill="1"/>
    <xf numFmtId="4" fontId="32" fillId="4" borderId="4" xfId="0" applyNumberFormat="1" applyFont="1" applyFill="1" applyBorder="1" applyAlignment="1">
      <alignment horizontal="right" vertical="center"/>
    </xf>
    <xf numFmtId="2" fontId="9" fillId="2" borderId="0" xfId="0" applyNumberFormat="1" applyFont="1" applyFill="1"/>
    <xf numFmtId="166" fontId="9" fillId="2" borderId="5" xfId="4" applyNumberFormat="1" applyFont="1" applyFill="1" applyBorder="1"/>
    <xf numFmtId="0" fontId="34" fillId="2" borderId="0" xfId="0" applyFont="1" applyFill="1" applyAlignment="1">
      <alignment horizontal="left" vertical="center"/>
    </xf>
    <xf numFmtId="0" fontId="34" fillId="2" borderId="0" xfId="0" applyFont="1" applyFill="1" applyAlignment="1">
      <alignment horizontal="right" vertical="center"/>
    </xf>
    <xf numFmtId="0" fontId="9" fillId="0" borderId="5" xfId="0" applyFont="1" applyBorder="1"/>
    <xf numFmtId="2" fontId="43" fillId="0" borderId="0" xfId="0" applyNumberFormat="1" applyFont="1" applyBorder="1" applyAlignment="1">
      <alignment horizontal="center" vertical="center"/>
    </xf>
    <xf numFmtId="0" fontId="10" fillId="2" borderId="5" xfId="0" applyFont="1" applyFill="1" applyBorder="1"/>
    <xf numFmtId="2" fontId="15" fillId="0" borderId="0" xfId="0" applyNumberFormat="1" applyFont="1"/>
    <xf numFmtId="0" fontId="15" fillId="2" borderId="5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67" fillId="0" borderId="0" xfId="0" applyFont="1"/>
    <xf numFmtId="0" fontId="9" fillId="7" borderId="7" xfId="0" applyFont="1" applyFill="1" applyBorder="1" applyAlignment="1">
      <alignment horizontal="center" vertical="center" wrapText="1"/>
    </xf>
    <xf numFmtId="168" fontId="9" fillId="2" borderId="0" xfId="0" applyNumberFormat="1" applyFont="1" applyFill="1" applyAlignment="1">
      <alignment horizontal="left" vertical="center" wrapText="1"/>
    </xf>
    <xf numFmtId="176" fontId="9" fillId="7" borderId="0" xfId="3" applyNumberFormat="1" applyFont="1" applyFill="1"/>
    <xf numFmtId="0" fontId="34" fillId="2" borderId="7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175" fontId="9" fillId="2" borderId="0" xfId="0" applyNumberFormat="1" applyFont="1" applyFill="1"/>
    <xf numFmtId="166" fontId="9" fillId="7" borderId="0" xfId="4" applyFont="1" applyFill="1"/>
    <xf numFmtId="168" fontId="9" fillId="0" borderId="0" xfId="0" applyNumberFormat="1" applyFont="1" applyAlignment="1">
      <alignment horizontal="left" vertical="center" wrapText="1"/>
    </xf>
    <xf numFmtId="168" fontId="9" fillId="2" borderId="0" xfId="0" applyNumberFormat="1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 vertical="center"/>
    </xf>
    <xf numFmtId="166" fontId="9" fillId="2" borderId="0" xfId="0" applyNumberFormat="1" applyFont="1" applyFill="1" applyAlignment="1">
      <alignment horizontal="right" vertical="center"/>
    </xf>
    <xf numFmtId="9" fontId="9" fillId="2" borderId="0" xfId="0" applyNumberFormat="1" applyFont="1" applyFill="1" applyAlignment="1">
      <alignment horizontal="right" vertical="center"/>
    </xf>
    <xf numFmtId="166" fontId="9" fillId="7" borderId="0" xfId="4" applyFont="1" applyFill="1" applyAlignment="1">
      <alignment horizontal="right" vertical="center"/>
    </xf>
    <xf numFmtId="166" fontId="9" fillId="2" borderId="0" xfId="4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9" fontId="9" fillId="2" borderId="4" xfId="0" applyNumberFormat="1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166" fontId="9" fillId="2" borderId="9" xfId="4" applyFont="1" applyFill="1" applyBorder="1" applyAlignment="1">
      <alignment vertical="center"/>
    </xf>
    <xf numFmtId="0" fontId="9" fillId="2" borderId="11" xfId="0" applyFont="1" applyFill="1" applyBorder="1" applyAlignment="1">
      <alignment horizontal="right" vertical="center" wrapText="1"/>
    </xf>
    <xf numFmtId="166" fontId="9" fillId="2" borderId="36" xfId="4" applyFont="1" applyFill="1" applyBorder="1" applyAlignment="1">
      <alignment vertical="center"/>
    </xf>
    <xf numFmtId="0" fontId="9" fillId="2" borderId="12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 wrapText="1"/>
    </xf>
    <xf numFmtId="9" fontId="9" fillId="2" borderId="36" xfId="0" applyNumberFormat="1" applyFont="1" applyFill="1" applyBorder="1" applyAlignment="1">
      <alignment vertical="center" wrapText="1"/>
    </xf>
    <xf numFmtId="9" fontId="9" fillId="2" borderId="36" xfId="0" applyNumberFormat="1" applyFont="1" applyFill="1" applyBorder="1"/>
    <xf numFmtId="0" fontId="9" fillId="2" borderId="9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32" fillId="2" borderId="5" xfId="0" applyFont="1" applyFill="1" applyBorder="1" applyAlignment="1">
      <alignment horizontal="center" vertical="center"/>
    </xf>
    <xf numFmtId="177" fontId="9" fillId="4" borderId="5" xfId="3" applyNumberFormat="1" applyFont="1" applyFill="1" applyBorder="1" applyAlignment="1">
      <alignment horizontal="center" vertical="center"/>
    </xf>
    <xf numFmtId="166" fontId="32" fillId="2" borderId="5" xfId="4" applyFont="1" applyFill="1" applyBorder="1"/>
    <xf numFmtId="166" fontId="32" fillId="4" borderId="5" xfId="4" applyFont="1" applyFill="1" applyBorder="1"/>
    <xf numFmtId="10" fontId="9" fillId="2" borderId="5" xfId="3" applyNumberFormat="1" applyFont="1" applyFill="1" applyBorder="1" applyAlignment="1">
      <alignment horizontal="center" vertical="center"/>
    </xf>
    <xf numFmtId="10" fontId="9" fillId="2" borderId="5" xfId="2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wrapText="1"/>
    </xf>
    <xf numFmtId="43" fontId="9" fillId="0" borderId="0" xfId="0" applyNumberFormat="1" applyFont="1"/>
    <xf numFmtId="0" fontId="9" fillId="2" borderId="22" xfId="0" applyFont="1" applyFill="1" applyBorder="1" applyAlignment="1">
      <alignment horizontal="center" vertical="center" wrapText="1"/>
    </xf>
    <xf numFmtId="0" fontId="9" fillId="2" borderId="24" xfId="0" applyFont="1" applyFill="1" applyBorder="1"/>
    <xf numFmtId="1" fontId="33" fillId="4" borderId="10" xfId="0" applyNumberFormat="1" applyFont="1" applyFill="1" applyBorder="1" applyAlignment="1">
      <alignment horizontal="center" vertical="center"/>
    </xf>
    <xf numFmtId="0" fontId="33" fillId="4" borderId="10" xfId="0" applyFont="1" applyFill="1" applyBorder="1" applyAlignment="1">
      <alignment horizontal="center" vertical="center" wrapText="1"/>
    </xf>
    <xf numFmtId="170" fontId="33" fillId="4" borderId="10" xfId="0" applyNumberFormat="1" applyFont="1" applyFill="1" applyBorder="1" applyAlignment="1">
      <alignment horizontal="center" vertical="center"/>
    </xf>
    <xf numFmtId="179" fontId="9" fillId="0" borderId="10" xfId="4" applyNumberFormat="1" applyFont="1" applyBorder="1" applyAlignment="1">
      <alignment horizontal="center" vertical="center"/>
    </xf>
    <xf numFmtId="172" fontId="9" fillId="0" borderId="10" xfId="4" applyNumberFormat="1" applyFont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 wrapText="1"/>
    </xf>
    <xf numFmtId="0" fontId="40" fillId="4" borderId="10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40" fillId="4" borderId="4" xfId="0" applyFont="1" applyFill="1" applyBorder="1" applyAlignment="1">
      <alignment horizontal="center" vertical="center" wrapText="1"/>
    </xf>
    <xf numFmtId="172" fontId="9" fillId="2" borderId="4" xfId="4" applyNumberFormat="1" applyFont="1" applyFill="1" applyBorder="1"/>
    <xf numFmtId="172" fontId="15" fillId="0" borderId="5" xfId="4" applyNumberFormat="1" applyFont="1" applyBorder="1"/>
    <xf numFmtId="168" fontId="9" fillId="2" borderId="0" xfId="4" applyNumberFormat="1" applyFont="1" applyFill="1"/>
    <xf numFmtId="170" fontId="9" fillId="2" borderId="5" xfId="0" applyNumberFormat="1" applyFont="1" applyFill="1" applyBorder="1"/>
    <xf numFmtId="1" fontId="9" fillId="2" borderId="5" xfId="0" applyNumberFormat="1" applyFont="1" applyFill="1" applyBorder="1"/>
    <xf numFmtId="168" fontId="9" fillId="2" borderId="0" xfId="4" applyNumberFormat="1" applyFont="1" applyFill="1" applyAlignment="1">
      <alignment horizontal="right"/>
    </xf>
    <xf numFmtId="0" fontId="79" fillId="2" borderId="0" xfId="0" applyFont="1" applyFill="1"/>
    <xf numFmtId="0" fontId="9" fillId="0" borderId="6" xfId="0" applyFont="1" applyBorder="1" applyAlignment="1"/>
    <xf numFmtId="0" fontId="9" fillId="0" borderId="0" xfId="0" applyFont="1" applyBorder="1" applyAlignment="1"/>
    <xf numFmtId="0" fontId="9" fillId="0" borderId="0" xfId="0" applyFont="1" applyAlignment="1"/>
    <xf numFmtId="2" fontId="9" fillId="2" borderId="36" xfId="0" applyNumberFormat="1" applyFont="1" applyFill="1" applyBorder="1" applyAlignment="1">
      <alignment vertical="center"/>
    </xf>
    <xf numFmtId="2" fontId="9" fillId="2" borderId="36" xfId="4" applyNumberFormat="1" applyFont="1" applyFill="1" applyBorder="1" applyAlignment="1">
      <alignment vertical="center"/>
    </xf>
    <xf numFmtId="0" fontId="9" fillId="2" borderId="23" xfId="0" applyFont="1" applyFill="1" applyBorder="1" applyAlignment="1">
      <alignment vertical="center" wrapText="1"/>
    </xf>
    <xf numFmtId="4" fontId="9" fillId="2" borderId="36" xfId="4" applyNumberFormat="1" applyFont="1" applyFill="1" applyBorder="1" applyAlignment="1">
      <alignment vertical="center"/>
    </xf>
    <xf numFmtId="0" fontId="9" fillId="2" borderId="23" xfId="0" applyFont="1" applyFill="1" applyBorder="1" applyAlignment="1">
      <alignment wrapText="1"/>
    </xf>
    <xf numFmtId="0" fontId="9" fillId="0" borderId="0" xfId="0" applyFont="1" applyFill="1"/>
    <xf numFmtId="4" fontId="15" fillId="0" borderId="4" xfId="0" applyNumberFormat="1" applyFont="1" applyFill="1" applyBorder="1"/>
    <xf numFmtId="4" fontId="9" fillId="0" borderId="5" xfId="0" applyNumberFormat="1" applyFont="1" applyFill="1" applyBorder="1"/>
    <xf numFmtId="173" fontId="9" fillId="2" borderId="8" xfId="4" applyNumberFormat="1" applyFont="1" applyFill="1" applyBorder="1" applyAlignment="1">
      <alignment horizontal="center"/>
    </xf>
    <xf numFmtId="3" fontId="9" fillId="2" borderId="18" xfId="0" applyNumberFormat="1" applyFont="1" applyFill="1" applyBorder="1"/>
    <xf numFmtId="0" fontId="22" fillId="2" borderId="1" xfId="0" applyFont="1" applyFill="1" applyBorder="1" applyAlignment="1">
      <alignment horizontal="center" vertical="center" wrapText="1"/>
    </xf>
    <xf numFmtId="168" fontId="2" fillId="2" borderId="0" xfId="4" applyNumberFormat="1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4" fontId="9" fillId="2" borderId="19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right" vertical="center" wrapText="1"/>
    </xf>
    <xf numFmtId="0" fontId="9" fillId="0" borderId="38" xfId="0" applyFont="1" applyFill="1" applyBorder="1" applyAlignment="1">
      <alignment horizontal="right" vertical="center" wrapText="1"/>
    </xf>
    <xf numFmtId="0" fontId="38" fillId="2" borderId="0" xfId="0" applyFont="1" applyFill="1" applyAlignment="1">
      <alignment horizontal="right" vertical="center"/>
    </xf>
    <xf numFmtId="167" fontId="9" fillId="2" borderId="0" xfId="1" applyNumberFormat="1" applyFont="1" applyFill="1" applyAlignment="1">
      <alignment horizontal="left" vertical="center"/>
    </xf>
    <xf numFmtId="165" fontId="9" fillId="2" borderId="0" xfId="1" applyFont="1" applyFill="1"/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right" vertical="center"/>
    </xf>
    <xf numFmtId="2" fontId="9" fillId="2" borderId="39" xfId="4" applyNumberFormat="1" applyFont="1" applyFill="1" applyBorder="1" applyAlignment="1">
      <alignment vertical="center"/>
    </xf>
    <xf numFmtId="167" fontId="9" fillId="2" borderId="5" xfId="1" applyNumberFormat="1" applyFont="1" applyFill="1" applyBorder="1" applyAlignment="1">
      <alignment vertical="center"/>
    </xf>
    <xf numFmtId="165" fontId="2" fillId="2" borderId="5" xfId="1" applyFont="1" applyFill="1" applyBorder="1" applyAlignment="1">
      <alignment vertical="center"/>
    </xf>
    <xf numFmtId="165" fontId="9" fillId="2" borderId="5" xfId="1" applyFont="1" applyFill="1" applyBorder="1" applyAlignment="1">
      <alignment vertical="center"/>
    </xf>
    <xf numFmtId="4" fontId="9" fillId="2" borderId="40" xfId="4" applyNumberFormat="1" applyFont="1" applyFill="1" applyBorder="1" applyAlignment="1">
      <alignment vertical="center"/>
    </xf>
    <xf numFmtId="0" fontId="9" fillId="2" borderId="35" xfId="0" applyFont="1" applyFill="1" applyBorder="1" applyAlignment="1">
      <alignment vertical="center" wrapText="1"/>
    </xf>
    <xf numFmtId="0" fontId="9" fillId="2" borderId="35" xfId="0" applyFont="1" applyFill="1" applyBorder="1" applyAlignment="1">
      <alignment wrapText="1"/>
    </xf>
    <xf numFmtId="0" fontId="15" fillId="2" borderId="0" xfId="0" applyFont="1" applyFill="1" applyBorder="1" applyAlignment="1">
      <alignment horizontal="left" vertical="center" wrapText="1"/>
    </xf>
    <xf numFmtId="2" fontId="9" fillId="2" borderId="41" xfId="4" applyNumberFormat="1" applyFont="1" applyFill="1" applyBorder="1" applyAlignment="1">
      <alignment vertical="center"/>
    </xf>
    <xf numFmtId="165" fontId="9" fillId="0" borderId="10" xfId="1" applyFont="1" applyBorder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quotePrefix="1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top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right"/>
    </xf>
    <xf numFmtId="0" fontId="9" fillId="2" borderId="23" xfId="0" applyFont="1" applyFill="1" applyBorder="1" applyAlignment="1">
      <alignment horizontal="right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15" fillId="2" borderId="22" xfId="0" applyFont="1" applyFill="1" applyBorder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right"/>
    </xf>
    <xf numFmtId="0" fontId="9" fillId="2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left"/>
    </xf>
    <xf numFmtId="0" fontId="15" fillId="0" borderId="18" xfId="0" applyFont="1" applyFill="1" applyBorder="1" applyAlignment="1">
      <alignment horizontal="left"/>
    </xf>
    <xf numFmtId="0" fontId="15" fillId="0" borderId="19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/>
    </xf>
    <xf numFmtId="0" fontId="2" fillId="2" borderId="15" xfId="0" quotePrefix="1" applyFont="1" applyFill="1" applyBorder="1" applyAlignment="1">
      <alignment horizontal="left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9" fontId="9" fillId="2" borderId="9" xfId="0" applyNumberFormat="1" applyFont="1" applyFill="1" applyBorder="1" applyAlignment="1">
      <alignment horizontal="center" vertical="center" wrapText="1"/>
    </xf>
    <xf numFmtId="9" fontId="9" fillId="2" borderId="2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left" vertical="top" wrapText="1"/>
    </xf>
    <xf numFmtId="0" fontId="2" fillId="2" borderId="16" xfId="0" applyNumberFormat="1" applyFont="1" applyFill="1" applyBorder="1" applyAlignment="1">
      <alignment horizontal="left" vertical="top" wrapText="1"/>
    </xf>
    <xf numFmtId="0" fontId="2" fillId="2" borderId="18" xfId="0" applyNumberFormat="1" applyFont="1" applyFill="1" applyBorder="1" applyAlignment="1">
      <alignment horizontal="left" vertical="top" wrapText="1"/>
    </xf>
    <xf numFmtId="0" fontId="2" fillId="2" borderId="19" xfId="0" applyNumberFormat="1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/>
    </xf>
    <xf numFmtId="0" fontId="9" fillId="2" borderId="35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28" xfId="0" applyFont="1" applyFill="1" applyBorder="1" applyAlignment="1">
      <alignment horizontal="left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81" fillId="2" borderId="0" xfId="0" applyFont="1" applyFill="1"/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right" vertical="center"/>
    </xf>
    <xf numFmtId="0" fontId="15" fillId="2" borderId="5" xfId="0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vertical="center"/>
    </xf>
    <xf numFmtId="4" fontId="9" fillId="2" borderId="5" xfId="0" applyNumberFormat="1" applyFont="1" applyFill="1" applyBorder="1" applyAlignment="1">
      <alignment vertical="center"/>
    </xf>
    <xf numFmtId="4" fontId="15" fillId="2" borderId="5" xfId="0" applyNumberFormat="1" applyFont="1" applyFill="1" applyBorder="1" applyAlignment="1">
      <alignment vertical="center"/>
    </xf>
    <xf numFmtId="165" fontId="9" fillId="2" borderId="4" xfId="1" applyFont="1" applyFill="1" applyBorder="1" applyAlignment="1">
      <alignment horizontal="center" vertical="center" wrapText="1"/>
    </xf>
    <xf numFmtId="10" fontId="9" fillId="2" borderId="4" xfId="2" applyNumberFormat="1" applyFont="1" applyFill="1" applyBorder="1"/>
    <xf numFmtId="10" fontId="9" fillId="2" borderId="5" xfId="2" applyNumberFormat="1" applyFont="1" applyFill="1" applyBorder="1"/>
  </cellXfs>
  <cellStyles count="7">
    <cellStyle name="Comma" xfId="1" builtinId="3"/>
    <cellStyle name="Millares 2" xfId="4"/>
    <cellStyle name="Normal" xfId="0" builtinId="0"/>
    <cellStyle name="Normal 4" xfId="6"/>
    <cellStyle name="Normal 58" xfId="5"/>
    <cellStyle name="Percent" xfId="2" builtinId="5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733424</xdr:colOff>
      <xdr:row>1</xdr:row>
      <xdr:rowOff>142875</xdr:rowOff>
    </xdr:from>
    <xdr:to>
      <xdr:col>12</xdr:col>
      <xdr:colOff>47625</xdr:colOff>
      <xdr:row>10</xdr:row>
      <xdr:rowOff>161925</xdr:rowOff>
    </xdr:to>
    <xdr:sp macro="" textlink="">
      <xdr:nvSpPr>
        <xdr:cNvPr id="3" name="Rectángulo 2"/>
        <xdr:cNvSpPr/>
      </xdr:nvSpPr>
      <xdr:spPr>
        <a:xfrm>
          <a:off x="933449" y="333375"/>
          <a:ext cx="7067551" cy="2257425"/>
        </a:xfrm>
        <a:prstGeom prst="rect">
          <a:avLst/>
        </a:prstGeom>
        <a:noFill/>
        <a:ln w="1905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 editAs="oneCell">
    <xdr:from>
      <xdr:col>11</xdr:col>
      <xdr:colOff>15416</xdr:colOff>
      <xdr:row>45</xdr:row>
      <xdr:rowOff>66675</xdr:rowOff>
    </xdr:from>
    <xdr:to>
      <xdr:col>12</xdr:col>
      <xdr:colOff>19050</xdr:colOff>
      <xdr:row>46</xdr:row>
      <xdr:rowOff>191974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9691" y="8505825"/>
          <a:ext cx="737059" cy="334849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45</xdr:row>
      <xdr:rowOff>80937</xdr:rowOff>
    </xdr:from>
    <xdr:to>
      <xdr:col>3</xdr:col>
      <xdr:colOff>9525</xdr:colOff>
      <xdr:row>47</xdr:row>
      <xdr:rowOff>143502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3451" y="8520087"/>
          <a:ext cx="742949" cy="481665"/>
        </a:xfrm>
        <a:prstGeom prst="rect">
          <a:avLst/>
        </a:prstGeom>
      </xdr:spPr>
    </xdr:pic>
    <xdr:clientData/>
  </xdr:twoCellAnchor>
  <xdr:twoCellAnchor editAs="oneCell">
    <xdr:from>
      <xdr:col>3</xdr:col>
      <xdr:colOff>247650</xdr:colOff>
      <xdr:row>44</xdr:row>
      <xdr:rowOff>152401</xdr:rowOff>
    </xdr:from>
    <xdr:to>
      <xdr:col>5</xdr:col>
      <xdr:colOff>352425</xdr:colOff>
      <xdr:row>47</xdr:row>
      <xdr:rowOff>115513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14525" y="8401051"/>
          <a:ext cx="1571625" cy="591762"/>
        </a:xfrm>
        <a:prstGeom prst="rect">
          <a:avLst/>
        </a:prstGeom>
      </xdr:spPr>
    </xdr:pic>
    <xdr:clientData/>
  </xdr:twoCellAnchor>
  <xdr:twoCellAnchor>
    <xdr:from>
      <xdr:col>7</xdr:col>
      <xdr:colOff>247650</xdr:colOff>
      <xdr:row>15</xdr:row>
      <xdr:rowOff>0</xdr:rowOff>
    </xdr:from>
    <xdr:to>
      <xdr:col>7</xdr:col>
      <xdr:colOff>247650</xdr:colOff>
      <xdr:row>42</xdr:row>
      <xdr:rowOff>57150</xdr:rowOff>
    </xdr:to>
    <xdr:cxnSp macro="">
      <xdr:nvCxnSpPr>
        <xdr:cNvPr id="11" name="Conector recto 10"/>
        <xdr:cNvCxnSpPr/>
      </xdr:nvCxnSpPr>
      <xdr:spPr>
        <a:xfrm>
          <a:off x="4533900" y="3457575"/>
          <a:ext cx="0" cy="4562475"/>
        </a:xfrm>
        <a:prstGeom prst="line">
          <a:avLst/>
        </a:prstGeom>
        <a:ln w="76200">
          <a:solidFill>
            <a:schemeClr val="accent6">
              <a:lumMod val="40000"/>
              <a:lumOff val="6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33617</xdr:colOff>
      <xdr:row>37</xdr:row>
      <xdr:rowOff>55469</xdr:rowOff>
    </xdr:from>
    <xdr:to>
      <xdr:col>9</xdr:col>
      <xdr:colOff>695325</xdr:colOff>
      <xdr:row>49</xdr:row>
      <xdr:rowOff>1833</xdr:rowOff>
    </xdr:to>
    <xdr:grpSp>
      <xdr:nvGrpSpPr>
        <xdr:cNvPr id="13" name="Group 4"/>
        <xdr:cNvGrpSpPr/>
      </xdr:nvGrpSpPr>
      <xdr:grpSpPr>
        <a:xfrm>
          <a:off x="7139267" y="9170894"/>
          <a:ext cx="6843433" cy="5442289"/>
          <a:chOff x="5825493" y="14706600"/>
          <a:chExt cx="6557007" cy="4774419"/>
        </a:xfrm>
      </xdr:grpSpPr>
      <xdr:grpSp>
        <xdr:nvGrpSpPr>
          <xdr:cNvPr id="14" name="Group 6"/>
          <xdr:cNvGrpSpPr/>
        </xdr:nvGrpSpPr>
        <xdr:grpSpPr>
          <a:xfrm>
            <a:off x="7810511" y="14706600"/>
            <a:ext cx="4571989" cy="4774419"/>
            <a:chOff x="6967116" y="12183341"/>
            <a:chExt cx="4571989" cy="4490401"/>
          </a:xfrm>
        </xdr:grpSpPr>
        <xdr:pic>
          <xdr:nvPicPr>
            <xdr:cNvPr id="16" name="Picture 29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081530" y="12183341"/>
              <a:ext cx="3457575" cy="449040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17" name="Group 32"/>
            <xdr:cNvGrpSpPr/>
          </xdr:nvGrpSpPr>
          <xdr:grpSpPr>
            <a:xfrm>
              <a:off x="6967116" y="13329805"/>
              <a:ext cx="1267688" cy="3234170"/>
              <a:chOff x="6362731" y="13563600"/>
              <a:chExt cx="1266795" cy="2800350"/>
            </a:xfrm>
          </xdr:grpSpPr>
          <xdr:pic>
            <xdr:nvPicPr>
              <xdr:cNvPr id="19" name="Picture 30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362731" y="13817405"/>
                <a:ext cx="1138859" cy="219096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20" name="TextBox 31"/>
              <xdr:cNvSpPr txBox="1"/>
            </xdr:nvSpPr>
            <xdr:spPr>
              <a:xfrm>
                <a:off x="6772276" y="13563600"/>
                <a:ext cx="857250" cy="28003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l"/>
                <a:r>
                  <a:rPr lang="en-GB" sz="800">
                    <a:latin typeface="Arial" panose="020B0604020202020204" pitchFamily="34" charset="0"/>
                    <a:cs typeface="Arial" panose="020B0604020202020204" pitchFamily="34" charset="0"/>
                  </a:rPr>
                  <a:t>&lt; 4.0</a:t>
                </a:r>
              </a:p>
              <a:p>
                <a:pPr algn="l"/>
                <a:endParaRPr lang="en-GB" sz="800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algn="l"/>
                <a:r>
                  <a:rPr lang="en-GB" sz="800">
                    <a:latin typeface="Arial" panose="020B0604020202020204" pitchFamily="34" charset="0"/>
                    <a:cs typeface="Arial" panose="020B0604020202020204" pitchFamily="34" charset="0"/>
                  </a:rPr>
                  <a:t>4.0 -  4.5</a:t>
                </a:r>
              </a:p>
              <a:p>
                <a:pPr algn="l"/>
                <a:endParaRPr lang="en-GB" sz="800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algn="l"/>
                <a:r>
                  <a:rPr lang="en-GB" sz="800">
                    <a:latin typeface="Arial" panose="020B0604020202020204" pitchFamily="34" charset="0"/>
                    <a:cs typeface="Arial" panose="020B0604020202020204" pitchFamily="34" charset="0"/>
                  </a:rPr>
                  <a:t>4.5 - 5.0</a:t>
                </a:r>
              </a:p>
              <a:p>
                <a:pPr algn="l"/>
                <a:endParaRPr lang="en-GB" sz="800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algn="l"/>
                <a:r>
                  <a:rPr lang="en-GB" sz="800">
                    <a:latin typeface="Arial" panose="020B0604020202020204" pitchFamily="34" charset="0"/>
                    <a:cs typeface="Arial" panose="020B0604020202020204" pitchFamily="34" charset="0"/>
                  </a:rPr>
                  <a:t>5.0  - 5.5</a:t>
                </a:r>
              </a:p>
              <a:p>
                <a:pPr algn="l"/>
                <a:endParaRPr lang="en-GB" sz="800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algn="l"/>
                <a:r>
                  <a:rPr lang="en-GB" sz="800">
                    <a:latin typeface="Arial" panose="020B0604020202020204" pitchFamily="34" charset="0"/>
                    <a:cs typeface="Arial" panose="020B0604020202020204" pitchFamily="34" charset="0"/>
                  </a:rPr>
                  <a:t>5.5  - 6.0</a:t>
                </a:r>
              </a:p>
              <a:p>
                <a:pPr algn="l"/>
                <a:endParaRPr lang="en-GB" sz="800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algn="l"/>
                <a:r>
                  <a:rPr lang="en-GB" sz="800">
                    <a:latin typeface="Arial" panose="020B0604020202020204" pitchFamily="34" charset="0"/>
                    <a:cs typeface="Arial" panose="020B0604020202020204" pitchFamily="34" charset="0"/>
                  </a:rPr>
                  <a:t>6.0</a:t>
                </a:r>
                <a:r>
                  <a:rPr lang="en-GB" sz="8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 - 6.5</a:t>
                </a:r>
              </a:p>
              <a:p>
                <a:pPr algn="l"/>
                <a:endParaRPr lang="en-GB" sz="800" baseline="0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algn="l"/>
                <a:r>
                  <a:rPr lang="en-GB" sz="800" baseline="0">
                    <a:latin typeface="Arial" panose="020B0604020202020204" pitchFamily="34" charset="0"/>
                    <a:cs typeface="Arial" panose="020B0604020202020204" pitchFamily="34" charset="0"/>
                  </a:rPr>
                  <a:t>6.5 - 7.0</a:t>
                </a:r>
              </a:p>
              <a:p>
                <a:pPr algn="l"/>
                <a:endParaRPr lang="en-GB" sz="800" baseline="0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algn="l"/>
                <a:r>
                  <a:rPr lang="en-GB" sz="800" baseline="0">
                    <a:latin typeface="Arial" panose="020B0604020202020204" pitchFamily="34" charset="0"/>
                    <a:cs typeface="Arial" panose="020B0604020202020204" pitchFamily="34" charset="0"/>
                  </a:rPr>
                  <a:t>7.0  - 7.5</a:t>
                </a:r>
              </a:p>
              <a:p>
                <a:pPr algn="l"/>
                <a:endParaRPr lang="en-GB" sz="800" baseline="0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algn="l"/>
                <a:r>
                  <a:rPr lang="en-GB" sz="800" baseline="0">
                    <a:latin typeface="Arial" panose="020B0604020202020204" pitchFamily="34" charset="0"/>
                    <a:cs typeface="Arial" panose="020B0604020202020204" pitchFamily="34" charset="0"/>
                  </a:rPr>
                  <a:t>&gt; 7.5</a:t>
                </a:r>
                <a:endParaRPr lang="en-GB" sz="800">
                  <a:latin typeface="Arial" panose="020B0604020202020204" pitchFamily="34" charset="0"/>
                  <a:cs typeface="Arial" panose="020B0604020202020204" pitchFamily="34" charset="0"/>
                </a:endParaRPr>
              </a:p>
            </xdr:txBody>
          </xdr:sp>
        </xdr:grpSp>
        <xdr:sp macro="" textlink="">
          <xdr:nvSpPr>
            <xdr:cNvPr id="18" name="Rectangle 33"/>
            <xdr:cNvSpPr/>
          </xdr:nvSpPr>
          <xdr:spPr>
            <a:xfrm>
              <a:off x="7052830" y="14446134"/>
              <a:ext cx="914400" cy="952934"/>
            </a:xfrm>
            <a:prstGeom prst="rect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cxnSp macro="">
        <xdr:nvCxnSpPr>
          <xdr:cNvPr id="15" name="Straight Arrow Connector 25"/>
          <xdr:cNvCxnSpPr/>
        </xdr:nvCxnSpPr>
        <xdr:spPr>
          <a:xfrm flipH="1" flipV="1">
            <a:off x="5825493" y="16070441"/>
            <a:ext cx="2055807" cy="1379359"/>
          </a:xfrm>
          <a:prstGeom prst="straightConnector1">
            <a:avLst/>
          </a:prstGeom>
          <a:ln>
            <a:prstDash val="dash"/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493057</xdr:colOff>
      <xdr:row>35</xdr:row>
      <xdr:rowOff>5148</xdr:rowOff>
    </xdr:from>
    <xdr:to>
      <xdr:col>4</xdr:col>
      <xdr:colOff>848970</xdr:colOff>
      <xdr:row>44</xdr:row>
      <xdr:rowOff>104775</xdr:rowOff>
    </xdr:to>
    <xdr:grpSp>
      <xdr:nvGrpSpPr>
        <xdr:cNvPr id="2" name="Group 8"/>
        <xdr:cNvGrpSpPr/>
      </xdr:nvGrpSpPr>
      <xdr:grpSpPr>
        <a:xfrm>
          <a:off x="3869140" y="8397731"/>
          <a:ext cx="2102163" cy="1909377"/>
          <a:chOff x="3270968" y="10894867"/>
          <a:chExt cx="2024209" cy="1908651"/>
        </a:xfrm>
      </xdr:grpSpPr>
      <xdr:cxnSp macro="">
        <xdr:nvCxnSpPr>
          <xdr:cNvPr id="3" name="Straight Connector 6"/>
          <xdr:cNvCxnSpPr/>
        </xdr:nvCxnSpPr>
        <xdr:spPr>
          <a:xfrm>
            <a:off x="3270968" y="10894867"/>
            <a:ext cx="158461" cy="0"/>
          </a:xfrm>
          <a:prstGeom prst="line">
            <a:avLst/>
          </a:prstGeom>
          <a:ln w="19050">
            <a:solidFill>
              <a:schemeClr val="accent6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" name="Group 26"/>
          <xdr:cNvGrpSpPr/>
        </xdr:nvGrpSpPr>
        <xdr:grpSpPr>
          <a:xfrm>
            <a:off x="3528579" y="10913919"/>
            <a:ext cx="1766598" cy="1889599"/>
            <a:chOff x="4216977" y="10832523"/>
            <a:chExt cx="1764000" cy="1910406"/>
          </a:xfrm>
        </xdr:grpSpPr>
        <xdr:cxnSp macro="">
          <xdr:nvCxnSpPr>
            <xdr:cNvPr id="5" name="Elbow Connector 20"/>
            <xdr:cNvCxnSpPr/>
          </xdr:nvCxnSpPr>
          <xdr:spPr>
            <a:xfrm>
              <a:off x="4216977" y="10832523"/>
              <a:ext cx="1764000" cy="1908000"/>
            </a:xfrm>
            <a:prstGeom prst="bentConnector3">
              <a:avLst>
                <a:gd name="adj1" fmla="val 99864"/>
              </a:avLst>
            </a:prstGeom>
            <a:ln w="3175">
              <a:solidFill>
                <a:schemeClr val="accent6">
                  <a:lumMod val="75000"/>
                </a:schemeClr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Straight Arrow Connector 25"/>
            <xdr:cNvCxnSpPr/>
          </xdr:nvCxnSpPr>
          <xdr:spPr>
            <a:xfrm flipH="1">
              <a:off x="4398818" y="12742929"/>
              <a:ext cx="1575955" cy="0"/>
            </a:xfrm>
            <a:prstGeom prst="straightConnector1">
              <a:avLst/>
            </a:prstGeom>
            <a:ln>
              <a:solidFill>
                <a:schemeClr val="accent6">
                  <a:lumMod val="75000"/>
                </a:schemeClr>
              </a:solidFill>
              <a:tailEnd type="triangle" w="sm" len="me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6</xdr:col>
      <xdr:colOff>844264</xdr:colOff>
      <xdr:row>35</xdr:row>
      <xdr:rowOff>1308</xdr:rowOff>
    </xdr:from>
    <xdr:to>
      <xdr:col>12</xdr:col>
      <xdr:colOff>168705</xdr:colOff>
      <xdr:row>74</xdr:row>
      <xdr:rowOff>222250</xdr:rowOff>
    </xdr:to>
    <xdr:grpSp>
      <xdr:nvGrpSpPr>
        <xdr:cNvPr id="7" name="Group 9"/>
        <xdr:cNvGrpSpPr/>
      </xdr:nvGrpSpPr>
      <xdr:grpSpPr>
        <a:xfrm>
          <a:off x="10369264" y="8393891"/>
          <a:ext cx="5790858" cy="10582026"/>
          <a:chOff x="7957159" y="11118785"/>
          <a:chExt cx="5594084" cy="7120030"/>
        </a:xfrm>
      </xdr:grpSpPr>
      <xdr:grpSp>
        <xdr:nvGrpSpPr>
          <xdr:cNvPr id="8" name="Group 5"/>
          <xdr:cNvGrpSpPr/>
        </xdr:nvGrpSpPr>
        <xdr:grpSpPr>
          <a:xfrm>
            <a:off x="7957159" y="11118785"/>
            <a:ext cx="5594084" cy="6742126"/>
            <a:chOff x="8437757" y="9177914"/>
            <a:chExt cx="5595643" cy="6314411"/>
          </a:xfrm>
        </xdr:grpSpPr>
        <xdr:pic>
          <xdr:nvPicPr>
            <xdr:cNvPr id="10" name="Picture 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554638" y="9177914"/>
              <a:ext cx="3757416" cy="82924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" name="Picture 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468590" y="10027234"/>
              <a:ext cx="5564810" cy="89208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2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437757" y="10882667"/>
              <a:ext cx="5564810" cy="460965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9" name="Rectangle 27"/>
          <xdr:cNvSpPr/>
        </xdr:nvSpPr>
        <xdr:spPr>
          <a:xfrm>
            <a:off x="8144851" y="17910452"/>
            <a:ext cx="2741469" cy="3283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GB" sz="1000">
                <a:solidFill>
                  <a:schemeClr val="accent5">
                    <a:lumMod val="75000"/>
                  </a:schemeClr>
                </a:solidFill>
                <a:latin typeface="Garamond" panose="02020404030301010803" pitchFamily="18" charset="0"/>
                <a:cs typeface="Arial" panose="020B0604020202020204" pitchFamily="34" charset="0"/>
              </a:rPr>
              <a:t>Fuente: AMS-II.J, fórmula 1 y 2. Pág.  7 y 8</a:t>
            </a:r>
          </a:p>
        </xdr:txBody>
      </xdr:sp>
    </xdr:grpSp>
    <xdr:clientData/>
  </xdr:twoCellAnchor>
  <xdr:twoCellAnchor>
    <xdr:from>
      <xdr:col>1</xdr:col>
      <xdr:colOff>977613</xdr:colOff>
      <xdr:row>35</xdr:row>
      <xdr:rowOff>8226</xdr:rowOff>
    </xdr:from>
    <xdr:to>
      <xdr:col>2</xdr:col>
      <xdr:colOff>1400177</xdr:colOff>
      <xdr:row>50</xdr:row>
      <xdr:rowOff>123825</xdr:rowOff>
    </xdr:to>
    <xdr:grpSp>
      <xdr:nvGrpSpPr>
        <xdr:cNvPr id="13" name="Group 37"/>
        <xdr:cNvGrpSpPr/>
      </xdr:nvGrpSpPr>
      <xdr:grpSpPr>
        <a:xfrm>
          <a:off x="1273946" y="8400809"/>
          <a:ext cx="2094731" cy="3819766"/>
          <a:chOff x="1281547" y="10837718"/>
          <a:chExt cx="2334491" cy="3193543"/>
        </a:xfrm>
      </xdr:grpSpPr>
      <xdr:cxnSp macro="">
        <xdr:nvCxnSpPr>
          <xdr:cNvPr id="14" name="Straight Connector 28"/>
          <xdr:cNvCxnSpPr/>
        </xdr:nvCxnSpPr>
        <xdr:spPr>
          <a:xfrm>
            <a:off x="3261015" y="10837718"/>
            <a:ext cx="355023" cy="0"/>
          </a:xfrm>
          <a:prstGeom prst="line">
            <a:avLst/>
          </a:prstGeom>
          <a:ln w="19050">
            <a:solidFill>
              <a:schemeClr val="accent6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5" name="Group 36"/>
          <xdr:cNvGrpSpPr/>
        </xdr:nvGrpSpPr>
        <xdr:grpSpPr>
          <a:xfrm>
            <a:off x="1281547" y="10846377"/>
            <a:ext cx="1982935" cy="3184884"/>
            <a:chOff x="1307524" y="10846377"/>
            <a:chExt cx="1982935" cy="3184884"/>
          </a:xfrm>
        </xdr:grpSpPr>
        <xdr:cxnSp macro="">
          <xdr:nvCxnSpPr>
            <xdr:cNvPr id="16" name="Elbow Connector 30"/>
            <xdr:cNvCxnSpPr/>
          </xdr:nvCxnSpPr>
          <xdr:spPr>
            <a:xfrm rot="5400000">
              <a:off x="708315" y="11445586"/>
              <a:ext cx="3181353" cy="1982935"/>
            </a:xfrm>
            <a:prstGeom prst="bentConnector3">
              <a:avLst>
                <a:gd name="adj1" fmla="val 735"/>
              </a:avLst>
            </a:prstGeom>
            <a:ln w="3175">
              <a:solidFill>
                <a:schemeClr val="accent6">
                  <a:lumMod val="75000"/>
                </a:schemeClr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" name="Straight Arrow Connector 31"/>
            <xdr:cNvCxnSpPr/>
          </xdr:nvCxnSpPr>
          <xdr:spPr>
            <a:xfrm>
              <a:off x="1313705" y="14031261"/>
              <a:ext cx="250647" cy="0"/>
            </a:xfrm>
            <a:prstGeom prst="straightConnector1">
              <a:avLst/>
            </a:prstGeom>
            <a:ln>
              <a:solidFill>
                <a:schemeClr val="accent6">
                  <a:lumMod val="75000"/>
                </a:schemeClr>
              </a:solidFill>
              <a:tailEnd type="triangle" w="sm" len="me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5</xdr:col>
      <xdr:colOff>173180</xdr:colOff>
      <xdr:row>34</xdr:row>
      <xdr:rowOff>812222</xdr:rowOff>
    </xdr:from>
    <xdr:to>
      <xdr:col>6</xdr:col>
      <xdr:colOff>722780</xdr:colOff>
      <xdr:row>34</xdr:row>
      <xdr:rowOff>812222</xdr:rowOff>
    </xdr:to>
    <xdr:cxnSp macro="">
      <xdr:nvCxnSpPr>
        <xdr:cNvPr id="18" name="Straight Arrow Connector 38"/>
        <xdr:cNvCxnSpPr/>
      </xdr:nvCxnSpPr>
      <xdr:spPr>
        <a:xfrm flipH="1">
          <a:off x="8278955" y="11432597"/>
          <a:ext cx="3340425" cy="0"/>
        </a:xfrm>
        <a:prstGeom prst="straightConnector1">
          <a:avLst/>
        </a:prstGeom>
        <a:ln>
          <a:prstDash val="dash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963084</xdr:colOff>
      <xdr:row>37</xdr:row>
      <xdr:rowOff>190377</xdr:rowOff>
    </xdr:from>
    <xdr:to>
      <xdr:col>6</xdr:col>
      <xdr:colOff>921327</xdr:colOff>
      <xdr:row>44</xdr:row>
      <xdr:rowOff>201082</xdr:rowOff>
    </xdr:to>
    <xdr:cxnSp macro="">
      <xdr:nvCxnSpPr>
        <xdr:cNvPr id="19" name="Elbow Connector 39"/>
        <xdr:cNvCxnSpPr/>
      </xdr:nvCxnSpPr>
      <xdr:spPr>
        <a:xfrm rot="10800000" flipV="1">
          <a:off x="4820709" y="12839577"/>
          <a:ext cx="6997218" cy="2010955"/>
        </a:xfrm>
        <a:prstGeom prst="bentConnector3">
          <a:avLst>
            <a:gd name="adj1" fmla="val 50000"/>
          </a:avLst>
        </a:prstGeom>
        <a:ln>
          <a:prstDash val="dash"/>
          <a:tailEnd type="triangle" w="sm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828675</xdr:colOff>
      <xdr:row>55</xdr:row>
      <xdr:rowOff>47626</xdr:rowOff>
    </xdr:from>
    <xdr:to>
      <xdr:col>4</xdr:col>
      <xdr:colOff>1949824</xdr:colOff>
      <xdr:row>66</xdr:row>
      <xdr:rowOff>63501</xdr:rowOff>
    </xdr:to>
    <xdr:grpSp>
      <xdr:nvGrpSpPr>
        <xdr:cNvPr id="20" name="Group 7"/>
        <xdr:cNvGrpSpPr/>
      </xdr:nvGrpSpPr>
      <xdr:grpSpPr>
        <a:xfrm>
          <a:off x="1125008" y="14102293"/>
          <a:ext cx="5947149" cy="3074458"/>
          <a:chOff x="1123950" y="15135225"/>
          <a:chExt cx="6270700" cy="2271463"/>
        </a:xfrm>
      </xdr:grpSpPr>
      <xdr:grpSp>
        <xdr:nvGrpSpPr>
          <xdr:cNvPr id="21" name="Group 3"/>
          <xdr:cNvGrpSpPr/>
        </xdr:nvGrpSpPr>
        <xdr:grpSpPr>
          <a:xfrm>
            <a:off x="1133475" y="15135225"/>
            <a:ext cx="6261175" cy="1921436"/>
            <a:chOff x="1133475" y="15135225"/>
            <a:chExt cx="6261175" cy="1921436"/>
          </a:xfrm>
        </xdr:grpSpPr>
        <xdr:pic>
          <xdr:nvPicPr>
            <xdr:cNvPr id="23" name="Picture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33475" y="15763876"/>
              <a:ext cx="6261175" cy="129278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4" name="Picture 1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0148" y="15135225"/>
              <a:ext cx="3151851" cy="56341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22" name="Rectangle 21"/>
          <xdr:cNvSpPr/>
        </xdr:nvSpPr>
        <xdr:spPr>
          <a:xfrm>
            <a:off x="1123950" y="17078325"/>
            <a:ext cx="2741469" cy="3283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GB" sz="1000">
                <a:solidFill>
                  <a:schemeClr val="accent5">
                    <a:lumMod val="75000"/>
                  </a:schemeClr>
                </a:solidFill>
                <a:latin typeface="Garamond" panose="02020404030301010803" pitchFamily="18" charset="0"/>
                <a:cs typeface="Arial" panose="020B0604020202020204" pitchFamily="34" charset="0"/>
              </a:rPr>
              <a:t>Fuente: AMS-II.J, fórmula 3. Pág.  9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aji\max\DATA\MAX\Present.%20Korea%20Ene%2096\Present.%20Korea%20Feb%209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asto%20energia%20Sector%20Publi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. Autos (Datos)"/>
      <sheetName val="Import. Comer. (Datos)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maño muestral (pq)"/>
      <sheetName val="Gobierno Nacional"/>
      <sheetName val="GOREs"/>
      <sheetName val="Municipalidades"/>
      <sheetName val="PMC"/>
      <sheetName val="MEF"/>
      <sheetName val="MINCETUR"/>
      <sheetName val="MINISTERIO PUBLICO"/>
      <sheetName val="MINAGRI"/>
      <sheetName val="Cultura"/>
      <sheetName val="Poder Judicial"/>
      <sheetName val="MINAM"/>
      <sheetName val="MINEM"/>
      <sheetName val="PRODUCE"/>
      <sheetName val="MTC"/>
      <sheetName val="HospitalesLima"/>
      <sheetName val="Defensa"/>
      <sheetName val="Universidades"/>
      <sheetName val="Resum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4">
          <cell r="B4" t="str">
            <v>Gobierno Nacional</v>
          </cell>
          <cell r="E4">
            <v>1</v>
          </cell>
        </row>
        <row r="5">
          <cell r="B5" t="str">
            <v>Gobiernos Regionales</v>
          </cell>
          <cell r="E5">
            <v>0.96153846153846156</v>
          </cell>
        </row>
        <row r="6">
          <cell r="B6" t="str">
            <v>Gobiernos Locales (Municipalidades provinciales y distritales)</v>
          </cell>
          <cell r="E6">
            <v>0.17948717948717949</v>
          </cell>
        </row>
        <row r="7">
          <cell r="B7" t="str">
            <v>Presidencia del Consejo de Ministros</v>
          </cell>
          <cell r="E7">
            <v>0.6875</v>
          </cell>
        </row>
        <row r="8">
          <cell r="B8" t="str">
            <v>Ministerio de Economia y Finanzas</v>
          </cell>
          <cell r="E8">
            <v>0.8571428571428571</v>
          </cell>
        </row>
        <row r="9">
          <cell r="B9" t="str">
            <v>Ministerio de Comercio Exterior y Turismo</v>
          </cell>
          <cell r="E9">
            <v>1</v>
          </cell>
        </row>
        <row r="10">
          <cell r="B10" t="str">
            <v>Ministerio Publico</v>
          </cell>
          <cell r="E10">
            <v>1</v>
          </cell>
        </row>
        <row r="11">
          <cell r="B11" t="str">
            <v>Ministerio de Agricultura y Riego</v>
          </cell>
          <cell r="E11">
            <v>0.83333333333333337</v>
          </cell>
        </row>
        <row r="12">
          <cell r="B12" t="str">
            <v>Ministerio de Cultura</v>
          </cell>
          <cell r="E12">
            <v>1</v>
          </cell>
        </row>
        <row r="13">
          <cell r="B13" t="str">
            <v>Poder Judicial</v>
          </cell>
          <cell r="E13">
            <v>0.94117647058823528</v>
          </cell>
        </row>
        <row r="14">
          <cell r="B14" t="str">
            <v>Ministerio de Ambiente</v>
          </cell>
          <cell r="E14">
            <v>0.75</v>
          </cell>
        </row>
        <row r="15">
          <cell r="B15" t="str">
            <v>Ministerio de Energía y Minas</v>
          </cell>
          <cell r="E15">
            <v>1</v>
          </cell>
        </row>
        <row r="16">
          <cell r="B16" t="str">
            <v>Ministerio de Produccion</v>
          </cell>
          <cell r="E16">
            <v>1</v>
          </cell>
        </row>
        <row r="17">
          <cell r="B17" t="str">
            <v>Ministerio de Transportes y Comunicaciones</v>
          </cell>
          <cell r="E17">
            <v>0.66666666666666663</v>
          </cell>
        </row>
        <row r="18">
          <cell r="B18" t="str">
            <v>Hospitales de Lima</v>
          </cell>
          <cell r="E18">
            <v>0.61363636363636365</v>
          </cell>
        </row>
        <row r="19">
          <cell r="B19" t="str">
            <v>Universidades Públicas</v>
          </cell>
          <cell r="E19">
            <v>0.65957446808510634</v>
          </cell>
        </row>
        <row r="20">
          <cell r="B20" t="str">
            <v>Ministerio de Defensa</v>
          </cell>
          <cell r="E20">
            <v>0.5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49"/>
  <sheetViews>
    <sheetView zoomScaleNormal="100" workbookViewId="0">
      <selection activeCell="D15" sqref="D15"/>
    </sheetView>
  </sheetViews>
  <sheetFormatPr defaultColWidth="11" defaultRowHeight="16.5" x14ac:dyDescent="0.3"/>
  <cols>
    <col min="1" max="1" width="3" style="2" customWidth="1"/>
    <col min="2" max="6" width="11" style="2"/>
    <col min="7" max="7" width="6.28515625" style="2" customWidth="1"/>
    <col min="8" max="8" width="11" style="2" customWidth="1"/>
    <col min="9" max="16384" width="11" style="2"/>
  </cols>
  <sheetData>
    <row r="3" spans="2:12" ht="20.25" x14ac:dyDescent="0.3">
      <c r="B3" s="1"/>
      <c r="C3" s="473" t="s">
        <v>397</v>
      </c>
      <c r="D3" s="1"/>
      <c r="E3" s="1"/>
      <c r="F3" s="1"/>
      <c r="G3" s="1"/>
      <c r="H3" s="1"/>
      <c r="I3" s="1"/>
      <c r="J3" s="1"/>
    </row>
    <row r="4" spans="2:12" ht="15" customHeight="1" x14ac:dyDescent="0.3">
      <c r="B4" s="1"/>
      <c r="C4" s="380" t="s">
        <v>357</v>
      </c>
      <c r="D4" s="380"/>
      <c r="E4" s="380"/>
      <c r="F4" s="380"/>
      <c r="G4" s="380"/>
      <c r="H4" s="380"/>
      <c r="I4" s="380"/>
      <c r="J4" s="380"/>
      <c r="K4" s="380"/>
      <c r="L4" s="380"/>
    </row>
    <row r="5" spans="2:12" ht="21" customHeight="1" x14ac:dyDescent="0.3">
      <c r="B5" s="1"/>
      <c r="C5" s="380"/>
      <c r="D5" s="380"/>
      <c r="E5" s="380"/>
      <c r="F5" s="380"/>
      <c r="G5" s="380"/>
      <c r="H5" s="380"/>
      <c r="I5" s="380"/>
      <c r="J5" s="380"/>
      <c r="K5" s="380"/>
      <c r="L5" s="380"/>
    </row>
    <row r="6" spans="2:12" ht="21" customHeight="1" x14ac:dyDescent="0.3">
      <c r="B6" s="1"/>
      <c r="C6" s="381" t="s">
        <v>365</v>
      </c>
      <c r="D6" s="381"/>
      <c r="E6" s="381"/>
      <c r="F6" s="381"/>
      <c r="G6" s="381"/>
      <c r="H6" s="381"/>
      <c r="I6" s="381"/>
      <c r="J6" s="381"/>
      <c r="K6" s="381"/>
      <c r="L6" s="381"/>
    </row>
    <row r="7" spans="2:12" x14ac:dyDescent="0.3">
      <c r="B7" s="1"/>
      <c r="C7" s="381"/>
      <c r="D7" s="381"/>
      <c r="E7" s="381"/>
      <c r="F7" s="381"/>
      <c r="G7" s="381"/>
      <c r="H7" s="381"/>
      <c r="I7" s="381"/>
      <c r="J7" s="381"/>
      <c r="K7" s="381"/>
      <c r="L7" s="381"/>
    </row>
    <row r="8" spans="2:12" x14ac:dyDescent="0.3">
      <c r="B8" s="1"/>
      <c r="C8" s="381"/>
      <c r="D8" s="381"/>
      <c r="E8" s="381"/>
      <c r="F8" s="381"/>
      <c r="G8" s="381"/>
      <c r="H8" s="381"/>
      <c r="I8" s="381"/>
      <c r="J8" s="381"/>
      <c r="K8" s="381"/>
      <c r="L8" s="381"/>
    </row>
    <row r="9" spans="2:12" ht="17.25" thickBot="1" x14ac:dyDescent="0.35">
      <c r="B9" s="1"/>
      <c r="C9" s="3" t="s">
        <v>206</v>
      </c>
      <c r="D9" s="4"/>
      <c r="E9" s="4"/>
      <c r="F9" s="4"/>
      <c r="G9" s="4"/>
      <c r="H9" s="4"/>
      <c r="I9" s="1"/>
      <c r="J9" s="1"/>
    </row>
    <row r="10" spans="2:12" ht="17.25" thickBot="1" x14ac:dyDescent="0.35">
      <c r="B10" s="1"/>
      <c r="C10" s="5" t="s">
        <v>197</v>
      </c>
      <c r="D10" s="6"/>
      <c r="E10" s="6"/>
      <c r="F10" s="6"/>
      <c r="G10" s="7"/>
      <c r="H10" s="8"/>
      <c r="I10" s="1"/>
      <c r="J10" s="1"/>
    </row>
    <row r="11" spans="2:12" x14ac:dyDescent="0.3">
      <c r="B11" s="1"/>
      <c r="C11" s="1"/>
      <c r="D11" s="1"/>
      <c r="E11" s="1"/>
      <c r="F11" s="1"/>
      <c r="G11" s="1"/>
      <c r="H11" s="1"/>
      <c r="I11" s="1"/>
      <c r="J11" s="1"/>
    </row>
    <row r="12" spans="2:12" x14ac:dyDescent="0.3">
      <c r="B12" s="1"/>
      <c r="D12" s="1"/>
      <c r="E12" s="1"/>
      <c r="F12" s="1"/>
      <c r="G12" s="1"/>
      <c r="H12" s="1"/>
      <c r="I12" s="1"/>
      <c r="J12" s="1"/>
    </row>
    <row r="13" spans="2:12" x14ac:dyDescent="0.3">
      <c r="B13" s="1"/>
      <c r="C13" s="1" t="s">
        <v>207</v>
      </c>
      <c r="D13" s="1"/>
      <c r="E13" s="1"/>
      <c r="F13" s="1"/>
      <c r="G13" s="1"/>
      <c r="H13" s="1"/>
      <c r="I13" s="1"/>
      <c r="J13" s="1"/>
    </row>
    <row r="14" spans="2:12" x14ac:dyDescent="0.3">
      <c r="B14" s="1"/>
      <c r="C14" s="1"/>
      <c r="D14" s="1"/>
      <c r="E14" s="1"/>
      <c r="F14" s="1"/>
      <c r="G14" s="1"/>
      <c r="H14" s="1"/>
      <c r="I14" s="1"/>
      <c r="J14" s="1"/>
    </row>
    <row r="15" spans="2:12" x14ac:dyDescent="0.3">
      <c r="B15" s="1"/>
      <c r="C15" s="1"/>
      <c r="D15" s="1"/>
      <c r="E15" s="1"/>
      <c r="F15" s="1"/>
      <c r="G15" s="1"/>
      <c r="H15" s="1"/>
      <c r="I15" s="1"/>
      <c r="J15" s="1"/>
    </row>
    <row r="16" spans="2:12" x14ac:dyDescent="0.3">
      <c r="B16" s="1"/>
      <c r="C16" s="9" t="s">
        <v>201</v>
      </c>
      <c r="D16" s="9"/>
      <c r="E16" s="10"/>
      <c r="F16" s="10"/>
      <c r="G16" s="10"/>
      <c r="I16" s="9" t="s">
        <v>86</v>
      </c>
      <c r="J16" s="9"/>
      <c r="K16" s="11"/>
      <c r="L16" s="11"/>
    </row>
    <row r="17" spans="2:13" x14ac:dyDescent="0.3">
      <c r="B17" s="1"/>
      <c r="C17" s="1"/>
      <c r="D17" s="1"/>
      <c r="E17" s="1"/>
      <c r="F17" s="1"/>
      <c r="G17" s="1"/>
      <c r="H17" s="1"/>
      <c r="I17" s="1"/>
      <c r="J17" s="1"/>
    </row>
    <row r="18" spans="2:13" x14ac:dyDescent="0.3">
      <c r="B18" s="1"/>
      <c r="C18" s="12" t="s">
        <v>208</v>
      </c>
      <c r="D18" s="1"/>
      <c r="E18" s="1"/>
      <c r="F18" s="1"/>
      <c r="G18" s="1"/>
      <c r="H18" s="1"/>
      <c r="I18" s="13" t="s">
        <v>209</v>
      </c>
      <c r="J18" s="1"/>
    </row>
    <row r="19" spans="2:13" x14ac:dyDescent="0.3">
      <c r="B19" s="1"/>
      <c r="C19" s="1" t="s">
        <v>198</v>
      </c>
      <c r="D19" s="1"/>
      <c r="E19" s="1"/>
      <c r="F19" s="1"/>
      <c r="G19" s="1"/>
      <c r="H19" s="1"/>
      <c r="I19" s="382" t="s">
        <v>204</v>
      </c>
      <c r="J19" s="382"/>
      <c r="K19" s="382"/>
      <c r="L19" s="382"/>
    </row>
    <row r="20" spans="2:13" ht="15" customHeight="1" x14ac:dyDescent="0.3">
      <c r="B20" s="1"/>
      <c r="C20" s="1"/>
      <c r="D20" s="1" t="s">
        <v>33</v>
      </c>
      <c r="E20" s="1"/>
      <c r="F20" s="1"/>
      <c r="G20" s="1"/>
      <c r="H20" s="1"/>
      <c r="I20" s="382"/>
      <c r="J20" s="382"/>
      <c r="K20" s="382"/>
      <c r="L20" s="382"/>
    </row>
    <row r="21" spans="2:13" x14ac:dyDescent="0.3">
      <c r="B21" s="1"/>
      <c r="C21" s="1"/>
      <c r="D21" s="1" t="s">
        <v>34</v>
      </c>
      <c r="E21" s="1"/>
      <c r="F21" s="1"/>
      <c r="G21" s="1"/>
      <c r="H21" s="1"/>
      <c r="I21" s="382"/>
      <c r="J21" s="382"/>
      <c r="K21" s="382"/>
      <c r="L21" s="382"/>
    </row>
    <row r="22" spans="2:13" ht="15" customHeight="1" x14ac:dyDescent="0.3">
      <c r="B22" s="1"/>
      <c r="C22" s="1"/>
      <c r="D22" s="1" t="s">
        <v>35</v>
      </c>
      <c r="E22" s="1"/>
      <c r="F22" s="1"/>
      <c r="G22" s="1"/>
      <c r="H22" s="1"/>
      <c r="I22" s="382"/>
      <c r="J22" s="382"/>
      <c r="K22" s="382"/>
      <c r="L22" s="382"/>
    </row>
    <row r="23" spans="2:13" ht="15" customHeight="1" x14ac:dyDescent="0.3">
      <c r="B23" s="1"/>
      <c r="C23" s="1"/>
      <c r="D23" s="1" t="s">
        <v>36</v>
      </c>
      <c r="E23" s="1"/>
      <c r="F23" s="1"/>
      <c r="G23" s="1"/>
      <c r="H23" s="1"/>
      <c r="I23" s="382"/>
      <c r="J23" s="382"/>
      <c r="K23" s="382"/>
      <c r="L23" s="382"/>
    </row>
    <row r="24" spans="2:13" x14ac:dyDescent="0.3">
      <c r="B24" s="1"/>
      <c r="C24" s="14" t="s">
        <v>210</v>
      </c>
      <c r="D24" s="1"/>
      <c r="E24" s="1"/>
      <c r="F24" s="1"/>
      <c r="G24" s="1"/>
      <c r="H24" s="1"/>
      <c r="I24" s="14" t="s">
        <v>211</v>
      </c>
      <c r="J24" s="1"/>
    </row>
    <row r="25" spans="2:13" x14ac:dyDescent="0.3">
      <c r="B25" s="1"/>
      <c r="C25" s="14"/>
      <c r="D25" s="1"/>
      <c r="E25" s="1"/>
      <c r="F25" s="1"/>
      <c r="G25" s="1"/>
      <c r="H25" s="1"/>
      <c r="I25" s="1"/>
      <c r="J25" s="1"/>
    </row>
    <row r="26" spans="2:13" ht="15" customHeight="1" x14ac:dyDescent="0.3">
      <c r="B26" s="1"/>
      <c r="C26" s="13" t="s">
        <v>212</v>
      </c>
      <c r="E26" s="1"/>
      <c r="F26" s="1"/>
      <c r="G26" s="1"/>
      <c r="H26" s="1"/>
      <c r="I26" s="15" t="s">
        <v>213</v>
      </c>
      <c r="J26" s="1"/>
    </row>
    <row r="27" spans="2:13" ht="15" customHeight="1" x14ac:dyDescent="0.3">
      <c r="B27" s="1"/>
      <c r="C27" s="382" t="s">
        <v>202</v>
      </c>
      <c r="D27" s="382"/>
      <c r="E27" s="382"/>
      <c r="F27" s="382"/>
      <c r="G27" s="1"/>
      <c r="H27" s="1"/>
      <c r="I27" s="382" t="s">
        <v>214</v>
      </c>
      <c r="J27" s="382"/>
      <c r="K27" s="382"/>
      <c r="L27" s="382"/>
      <c r="M27" s="16"/>
    </row>
    <row r="28" spans="2:13" x14ac:dyDescent="0.3">
      <c r="B28" s="1"/>
      <c r="C28" s="382"/>
      <c r="D28" s="382"/>
      <c r="E28" s="382"/>
      <c r="F28" s="382"/>
      <c r="G28" s="1"/>
      <c r="H28" s="1"/>
      <c r="I28" s="382"/>
      <c r="J28" s="382"/>
      <c r="K28" s="382"/>
      <c r="L28" s="382"/>
      <c r="M28" s="16"/>
    </row>
    <row r="29" spans="2:13" x14ac:dyDescent="0.3">
      <c r="B29" s="1"/>
      <c r="C29" s="382"/>
      <c r="D29" s="382"/>
      <c r="E29" s="382"/>
      <c r="F29" s="382"/>
      <c r="G29" s="1"/>
      <c r="H29" s="1"/>
      <c r="I29" s="382"/>
      <c r="J29" s="382"/>
      <c r="K29" s="382"/>
      <c r="L29" s="382"/>
      <c r="M29" s="16"/>
    </row>
    <row r="30" spans="2:13" x14ac:dyDescent="0.3">
      <c r="C30" s="14" t="s">
        <v>211</v>
      </c>
      <c r="D30" s="1"/>
      <c r="E30" s="1"/>
      <c r="I30" s="14" t="s">
        <v>210</v>
      </c>
    </row>
    <row r="31" spans="2:13" x14ac:dyDescent="0.3">
      <c r="C31" s="14"/>
      <c r="D31" s="1"/>
      <c r="E31" s="1"/>
    </row>
    <row r="32" spans="2:13" x14ac:dyDescent="0.3">
      <c r="C32" s="12" t="s">
        <v>215</v>
      </c>
      <c r="I32" s="12" t="s">
        <v>359</v>
      </c>
    </row>
    <row r="33" spans="3:12" ht="15" customHeight="1" x14ac:dyDescent="0.3">
      <c r="C33" s="382" t="s">
        <v>203</v>
      </c>
      <c r="D33" s="382"/>
      <c r="E33" s="382"/>
      <c r="F33" s="382"/>
      <c r="I33" s="382" t="s">
        <v>199</v>
      </c>
      <c r="J33" s="382"/>
      <c r="K33" s="382"/>
      <c r="L33" s="382"/>
    </row>
    <row r="34" spans="3:12" x14ac:dyDescent="0.3">
      <c r="C34" s="382"/>
      <c r="D34" s="382"/>
      <c r="E34" s="382"/>
      <c r="F34" s="382"/>
      <c r="I34" s="382"/>
      <c r="J34" s="382"/>
      <c r="K34" s="382"/>
      <c r="L34" s="382"/>
    </row>
    <row r="35" spans="3:12" x14ac:dyDescent="0.3">
      <c r="C35" s="382"/>
      <c r="D35" s="382"/>
      <c r="E35" s="382"/>
      <c r="F35" s="382"/>
      <c r="I35" s="382"/>
      <c r="J35" s="382"/>
      <c r="K35" s="382"/>
      <c r="L35" s="382"/>
    </row>
    <row r="36" spans="3:12" x14ac:dyDescent="0.3">
      <c r="C36" s="382"/>
      <c r="D36" s="382"/>
      <c r="E36" s="382"/>
      <c r="F36" s="382"/>
    </row>
    <row r="37" spans="3:12" x14ac:dyDescent="0.3">
      <c r="C37" s="14" t="s">
        <v>211</v>
      </c>
      <c r="D37" s="17"/>
      <c r="E37" s="17"/>
      <c r="F37" s="17"/>
    </row>
    <row r="38" spans="3:12" x14ac:dyDescent="0.3">
      <c r="C38" s="14"/>
      <c r="D38" s="17"/>
      <c r="E38" s="17"/>
      <c r="F38" s="17"/>
    </row>
    <row r="39" spans="3:12" x14ac:dyDescent="0.3">
      <c r="C39" s="12" t="s">
        <v>216</v>
      </c>
      <c r="I39" s="12" t="s">
        <v>358</v>
      </c>
    </row>
    <row r="40" spans="3:12" ht="15" customHeight="1" x14ac:dyDescent="0.3">
      <c r="C40" s="382" t="s">
        <v>200</v>
      </c>
      <c r="D40" s="382"/>
      <c r="E40" s="382"/>
      <c r="F40" s="382"/>
      <c r="I40" s="382" t="s">
        <v>205</v>
      </c>
      <c r="J40" s="382"/>
      <c r="K40" s="382"/>
      <c r="L40" s="382"/>
    </row>
    <row r="41" spans="3:12" x14ac:dyDescent="0.3">
      <c r="C41" s="382"/>
      <c r="D41" s="382"/>
      <c r="E41" s="382"/>
      <c r="F41" s="382"/>
      <c r="I41" s="382"/>
      <c r="J41" s="382"/>
      <c r="K41" s="382"/>
      <c r="L41" s="382"/>
    </row>
    <row r="42" spans="3:12" ht="24.75" customHeight="1" x14ac:dyDescent="0.3">
      <c r="C42" s="382"/>
      <c r="D42" s="382"/>
      <c r="E42" s="382"/>
      <c r="F42" s="382"/>
      <c r="I42" s="382"/>
      <c r="J42" s="382"/>
      <c r="K42" s="382"/>
      <c r="L42" s="382"/>
    </row>
    <row r="43" spans="3:12" x14ac:dyDescent="0.3">
      <c r="C43" s="14" t="s">
        <v>210</v>
      </c>
      <c r="I43" s="14" t="s">
        <v>210</v>
      </c>
    </row>
    <row r="45" spans="3:12" x14ac:dyDescent="0.3">
      <c r="C45" s="1" t="s">
        <v>194</v>
      </c>
      <c r="L45" s="1" t="s">
        <v>195</v>
      </c>
    </row>
    <row r="48" spans="3:12" x14ac:dyDescent="0.3">
      <c r="C48" s="1"/>
      <c r="D48" s="1"/>
      <c r="E48" s="1"/>
      <c r="F48" s="1"/>
      <c r="G48" s="1"/>
      <c r="H48" s="1"/>
      <c r="I48" s="1"/>
      <c r="J48" s="1"/>
      <c r="K48" s="1"/>
    </row>
    <row r="49" spans="2:10" x14ac:dyDescent="0.3">
      <c r="B49" s="1"/>
      <c r="C49" s="1"/>
      <c r="D49" s="1"/>
      <c r="E49" s="1"/>
      <c r="F49" s="1"/>
      <c r="G49" s="1"/>
      <c r="H49" s="1"/>
      <c r="I49" s="1"/>
      <c r="J49" s="1"/>
    </row>
  </sheetData>
  <mergeCells count="9">
    <mergeCell ref="C4:L5"/>
    <mergeCell ref="C6:L8"/>
    <mergeCell ref="I40:L42"/>
    <mergeCell ref="C27:F29"/>
    <mergeCell ref="C33:F36"/>
    <mergeCell ref="C40:F42"/>
    <mergeCell ref="I19:L23"/>
    <mergeCell ref="I33:L35"/>
    <mergeCell ref="I27:L2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B1:AF86"/>
  <sheetViews>
    <sheetView tabSelected="1" topLeftCell="E12" zoomScaleNormal="100" workbookViewId="0">
      <selection activeCell="G21" sqref="G21"/>
    </sheetView>
  </sheetViews>
  <sheetFormatPr defaultColWidth="11" defaultRowHeight="16.5" x14ac:dyDescent="0.3"/>
  <cols>
    <col min="1" max="1" width="3.7109375" style="2" customWidth="1"/>
    <col min="2" max="2" width="27" style="2" customWidth="1"/>
    <col min="3" max="3" width="16.85546875" style="2" customWidth="1"/>
    <col min="4" max="4" width="29" style="2" customWidth="1"/>
    <col min="5" max="5" width="30.42578125" style="2" customWidth="1"/>
    <col min="6" max="6" width="14.42578125" style="2" bestFit="1" customWidth="1"/>
    <col min="7" max="7" width="19" style="2" customWidth="1"/>
    <col min="8" max="8" width="8.7109375" style="2" customWidth="1"/>
    <col min="9" max="12" width="11" style="2"/>
    <col min="13" max="13" width="7.7109375" style="2" customWidth="1"/>
    <col min="14" max="14" width="3.5703125" style="2" customWidth="1"/>
    <col min="15" max="15" width="29.5703125" style="2" customWidth="1"/>
    <col min="16" max="16" width="29.42578125" style="2" customWidth="1"/>
    <col min="17" max="17" width="25" style="2" bestFit="1" customWidth="1"/>
    <col min="18" max="18" width="9.140625" style="2" bestFit="1" customWidth="1"/>
    <col min="19" max="16384" width="11" style="2"/>
  </cols>
  <sheetData>
    <row r="1" spans="2:32" x14ac:dyDescent="0.3">
      <c r="M1" s="18"/>
    </row>
    <row r="2" spans="2:32" s="1" customFormat="1" ht="15" customHeight="1" x14ac:dyDescent="0.3">
      <c r="B2" s="9"/>
      <c r="C2" s="9"/>
      <c r="D2" s="9"/>
      <c r="E2" s="9"/>
      <c r="F2" s="9"/>
      <c r="G2" s="9"/>
      <c r="H2" s="10"/>
      <c r="I2" s="10"/>
      <c r="J2" s="10"/>
      <c r="K2" s="10"/>
      <c r="L2" s="10"/>
      <c r="M2" s="18"/>
      <c r="O2" s="19" t="s">
        <v>86</v>
      </c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F2" s="20"/>
    </row>
    <row r="3" spans="2:32" x14ac:dyDescent="0.3">
      <c r="M3" s="18"/>
    </row>
    <row r="4" spans="2:32" x14ac:dyDescent="0.3">
      <c r="B4" s="12" t="s">
        <v>208</v>
      </c>
      <c r="C4" s="1"/>
      <c r="D4" s="1"/>
      <c r="E4" s="1"/>
      <c r="F4" s="1"/>
      <c r="G4" s="1"/>
      <c r="H4" s="1"/>
      <c r="I4" s="1"/>
      <c r="J4" s="1"/>
      <c r="K4" s="1"/>
      <c r="M4" s="18"/>
      <c r="O4" s="13" t="s">
        <v>209</v>
      </c>
    </row>
    <row r="5" spans="2:32" x14ac:dyDescent="0.3">
      <c r="B5" s="1"/>
      <c r="C5" s="1"/>
      <c r="D5" s="12"/>
      <c r="E5" s="12"/>
      <c r="F5" s="12"/>
      <c r="G5" s="12"/>
      <c r="H5" s="1"/>
      <c r="I5" s="1"/>
      <c r="J5" s="1"/>
      <c r="K5" s="1"/>
      <c r="M5" s="18"/>
      <c r="O5" s="12" t="s">
        <v>217</v>
      </c>
      <c r="P5" s="1"/>
    </row>
    <row r="6" spans="2:32" ht="26.25" thickBot="1" x14ac:dyDescent="0.35">
      <c r="B6" s="383" t="s">
        <v>32</v>
      </c>
      <c r="C6" s="384"/>
      <c r="D6" s="383" t="s">
        <v>33</v>
      </c>
      <c r="E6" s="384"/>
      <c r="F6" s="387" t="s">
        <v>34</v>
      </c>
      <c r="G6" s="383" t="s">
        <v>35</v>
      </c>
      <c r="H6" s="384"/>
      <c r="I6" s="383" t="s">
        <v>36</v>
      </c>
      <c r="J6" s="399"/>
      <c r="K6" s="384"/>
      <c r="M6" s="18"/>
      <c r="O6" s="21" t="s">
        <v>160</v>
      </c>
      <c r="P6" s="22" t="s">
        <v>218</v>
      </c>
    </row>
    <row r="7" spans="2:32" ht="17.25" thickBot="1" x14ac:dyDescent="0.35">
      <c r="B7" s="385"/>
      <c r="C7" s="386"/>
      <c r="D7" s="385"/>
      <c r="E7" s="386"/>
      <c r="F7" s="388"/>
      <c r="G7" s="385"/>
      <c r="H7" s="386"/>
      <c r="I7" s="385"/>
      <c r="J7" s="400"/>
      <c r="K7" s="386"/>
      <c r="M7" s="18"/>
      <c r="O7" s="23" t="s">
        <v>4</v>
      </c>
      <c r="P7" s="24">
        <f>C22*C23</f>
        <v>1000</v>
      </c>
    </row>
    <row r="8" spans="2:32" x14ac:dyDescent="0.3">
      <c r="B8" s="389" t="s">
        <v>398</v>
      </c>
      <c r="C8" s="390"/>
      <c r="D8" s="393" t="s">
        <v>177</v>
      </c>
      <c r="E8" s="394"/>
      <c r="F8" s="397" t="s">
        <v>152</v>
      </c>
      <c r="G8" s="389" t="s">
        <v>153</v>
      </c>
      <c r="H8" s="390"/>
      <c r="I8" s="389" t="s">
        <v>154</v>
      </c>
      <c r="J8" s="401"/>
      <c r="K8" s="390"/>
      <c r="M8" s="18"/>
      <c r="O8" s="25" t="s">
        <v>5</v>
      </c>
      <c r="P8" s="26">
        <f>C25*C24</f>
        <v>250</v>
      </c>
    </row>
    <row r="9" spans="2:32" ht="20.25" customHeight="1" x14ac:dyDescent="0.3">
      <c r="B9" s="391"/>
      <c r="C9" s="392"/>
      <c r="D9" s="395"/>
      <c r="E9" s="396"/>
      <c r="F9" s="398"/>
      <c r="G9" s="391"/>
      <c r="H9" s="392"/>
      <c r="I9" s="391"/>
      <c r="J9" s="402"/>
      <c r="K9" s="392"/>
      <c r="M9" s="18"/>
      <c r="O9" s="25" t="s">
        <v>169</v>
      </c>
      <c r="P9" s="26">
        <f>C24*C26</f>
        <v>500</v>
      </c>
    </row>
    <row r="10" spans="2:32" x14ac:dyDescent="0.3">
      <c r="M10" s="18"/>
      <c r="O10" s="25" t="s">
        <v>165</v>
      </c>
      <c r="P10" s="26">
        <v>500</v>
      </c>
    </row>
    <row r="11" spans="2:32" x14ac:dyDescent="0.3">
      <c r="B11" s="13" t="s">
        <v>212</v>
      </c>
      <c r="M11" s="18"/>
      <c r="O11" s="34" t="s">
        <v>166</v>
      </c>
      <c r="P11" s="26">
        <v>300</v>
      </c>
    </row>
    <row r="12" spans="2:32" x14ac:dyDescent="0.3">
      <c r="B12" s="1" t="s">
        <v>155</v>
      </c>
      <c r="C12" s="1"/>
      <c r="D12" s="1"/>
      <c r="E12" s="1"/>
      <c r="F12" s="1"/>
      <c r="G12" s="1"/>
      <c r="H12" s="1"/>
      <c r="M12" s="18"/>
      <c r="O12" s="34" t="s">
        <v>167</v>
      </c>
      <c r="P12" s="26">
        <v>300</v>
      </c>
    </row>
    <row r="13" spans="2:32" ht="27.75" thickBot="1" x14ac:dyDescent="0.35">
      <c r="B13" s="27" t="s">
        <v>42</v>
      </c>
      <c r="C13" s="28" t="s">
        <v>156</v>
      </c>
      <c r="D13" s="29" t="s">
        <v>219</v>
      </c>
      <c r="E13" s="30" t="s">
        <v>220</v>
      </c>
      <c r="F13" s="31"/>
      <c r="G13" s="32"/>
      <c r="H13" s="32"/>
      <c r="I13" s="33"/>
      <c r="M13" s="18"/>
      <c r="O13" s="34" t="s">
        <v>179</v>
      </c>
      <c r="P13" s="42">
        <f>10%*SUM(P7:P12)</f>
        <v>285</v>
      </c>
      <c r="Q13" s="43"/>
      <c r="S13" s="43"/>
      <c r="T13" s="43"/>
    </row>
    <row r="14" spans="2:32" x14ac:dyDescent="0.3">
      <c r="B14" s="35">
        <v>2018</v>
      </c>
      <c r="C14" s="355">
        <f>C19*C20*C21</f>
        <v>5321.5561541512297</v>
      </c>
      <c r="D14" s="37">
        <f>P16</f>
        <v>68.97</v>
      </c>
      <c r="E14" s="356">
        <f>C24</f>
        <v>50</v>
      </c>
      <c r="F14" s="39"/>
      <c r="G14" s="40"/>
      <c r="H14" s="41"/>
      <c r="I14" s="33"/>
      <c r="M14" s="18"/>
      <c r="O14" s="34" t="s">
        <v>6</v>
      </c>
      <c r="P14" s="42">
        <f>10%*SUM(P7:P13)</f>
        <v>313.5</v>
      </c>
    </row>
    <row r="15" spans="2:32" x14ac:dyDescent="0.3">
      <c r="B15" s="1"/>
      <c r="C15" s="1"/>
      <c r="D15" s="1"/>
      <c r="E15" s="1"/>
      <c r="F15" s="1"/>
      <c r="G15" s="1"/>
      <c r="H15" s="1"/>
      <c r="M15" s="18"/>
      <c r="O15" s="44" t="s">
        <v>7</v>
      </c>
      <c r="P15" s="45">
        <f>SUM(P7:P14)</f>
        <v>3448.5</v>
      </c>
    </row>
    <row r="16" spans="2:32" ht="27" x14ac:dyDescent="0.3">
      <c r="B16" s="1"/>
      <c r="C16" s="1"/>
      <c r="D16" s="1"/>
      <c r="E16" s="1"/>
      <c r="F16" s="1"/>
      <c r="G16" s="1"/>
      <c r="H16" s="1"/>
      <c r="M16" s="18"/>
      <c r="O16" s="49" t="s">
        <v>221</v>
      </c>
      <c r="P16" s="44">
        <f>P15/50</f>
        <v>68.97</v>
      </c>
    </row>
    <row r="17" spans="2:17" x14ac:dyDescent="0.3">
      <c r="B17" s="12" t="s">
        <v>215</v>
      </c>
      <c r="M17" s="18"/>
      <c r="O17" s="54" t="s">
        <v>8</v>
      </c>
    </row>
    <row r="18" spans="2:17" ht="17.25" thickBot="1" x14ac:dyDescent="0.35">
      <c r="B18" s="46" t="s">
        <v>9</v>
      </c>
      <c r="C18" s="47" t="s">
        <v>10</v>
      </c>
      <c r="D18" s="48" t="s">
        <v>11</v>
      </c>
      <c r="E18" s="48" t="s">
        <v>12</v>
      </c>
      <c r="M18" s="18"/>
      <c r="O18" s="15" t="s">
        <v>222</v>
      </c>
    </row>
    <row r="19" spans="2:17" ht="39" thickBot="1" x14ac:dyDescent="0.35">
      <c r="B19" s="50" t="s">
        <v>18</v>
      </c>
      <c r="C19" s="51">
        <f>'MH2'!C14</f>
        <v>1692.606919259297</v>
      </c>
      <c r="D19" s="52" t="s">
        <v>19</v>
      </c>
      <c r="E19" s="53" t="s">
        <v>196</v>
      </c>
      <c r="M19" s="18"/>
      <c r="O19" s="408" t="s">
        <v>2</v>
      </c>
      <c r="P19" s="409"/>
      <c r="Q19" s="22" t="s">
        <v>223</v>
      </c>
    </row>
    <row r="20" spans="2:17" ht="25.5" x14ac:dyDescent="0.3">
      <c r="B20" s="55" t="s">
        <v>170</v>
      </c>
      <c r="C20" s="56">
        <v>4</v>
      </c>
      <c r="D20" s="57" t="s">
        <v>171</v>
      </c>
      <c r="E20" s="58" t="s">
        <v>24</v>
      </c>
      <c r="M20" s="18"/>
      <c r="O20" s="474" t="s">
        <v>399</v>
      </c>
      <c r="P20" s="475"/>
      <c r="Q20" s="479">
        <f>SUM(Q21:Q22)</f>
        <v>403730.50074699131</v>
      </c>
    </row>
    <row r="21" spans="2:17" ht="38.25" x14ac:dyDescent="0.3">
      <c r="B21" s="55" t="s">
        <v>149</v>
      </c>
      <c r="C21" s="59">
        <v>0.78600000000000003</v>
      </c>
      <c r="D21" s="57" t="s">
        <v>353</v>
      </c>
      <c r="E21" s="58" t="s">
        <v>178</v>
      </c>
      <c r="M21" s="18"/>
      <c r="O21" s="476" t="s">
        <v>3</v>
      </c>
      <c r="P21" s="477"/>
      <c r="Q21" s="138">
        <f>C20*P16*C19*C21</f>
        <v>367027.72795181029</v>
      </c>
    </row>
    <row r="22" spans="2:17" ht="26.25" thickBot="1" x14ac:dyDescent="0.35">
      <c r="B22" s="55" t="s">
        <v>400</v>
      </c>
      <c r="C22" s="60">
        <v>200</v>
      </c>
      <c r="D22" s="57" t="s">
        <v>354</v>
      </c>
      <c r="E22" s="61" t="s">
        <v>157</v>
      </c>
      <c r="M22" s="18"/>
      <c r="O22" s="476" t="s">
        <v>20</v>
      </c>
      <c r="P22" s="477"/>
      <c r="Q22" s="138">
        <f>Q21*10%</f>
        <v>36702.77279518103</v>
      </c>
    </row>
    <row r="23" spans="2:17" ht="26.25" thickBot="1" x14ac:dyDescent="0.35">
      <c r="B23" s="63" t="s">
        <v>158</v>
      </c>
      <c r="C23" s="64">
        <v>5</v>
      </c>
      <c r="D23" s="65" t="s">
        <v>355</v>
      </c>
      <c r="E23" s="61" t="s">
        <v>159</v>
      </c>
      <c r="L23" s="43"/>
      <c r="M23" s="18"/>
      <c r="O23" s="405" t="s">
        <v>0</v>
      </c>
      <c r="P23" s="369" t="s">
        <v>28</v>
      </c>
      <c r="Q23" s="480">
        <f>LEFT(RIGHT(P23,5),4)*Q20</f>
        <v>403730.50074699131</v>
      </c>
    </row>
    <row r="24" spans="2:17" ht="17.25" thickBot="1" x14ac:dyDescent="0.35">
      <c r="B24" s="63" t="s">
        <v>161</v>
      </c>
      <c r="C24" s="64">
        <v>50</v>
      </c>
      <c r="D24" s="65" t="s">
        <v>162</v>
      </c>
      <c r="E24" s="61"/>
      <c r="M24" s="18"/>
      <c r="O24" s="406"/>
      <c r="P24" s="55"/>
      <c r="Q24" s="480"/>
    </row>
    <row r="25" spans="2:17" ht="26.25" thickBot="1" x14ac:dyDescent="0.35">
      <c r="B25" s="63" t="s">
        <v>5</v>
      </c>
      <c r="C25" s="64">
        <v>5</v>
      </c>
      <c r="D25" s="65" t="s">
        <v>151</v>
      </c>
      <c r="E25" s="61" t="s">
        <v>163</v>
      </c>
      <c r="M25" s="18"/>
      <c r="O25" s="407"/>
      <c r="P25" s="478" t="s">
        <v>1</v>
      </c>
      <c r="Q25" s="481">
        <f>Q20-Q23-Q24</f>
        <v>0</v>
      </c>
    </row>
    <row r="26" spans="2:17" ht="26.25" thickBot="1" x14ac:dyDescent="0.35">
      <c r="B26" s="63" t="s">
        <v>164</v>
      </c>
      <c r="C26" s="64">
        <v>10</v>
      </c>
      <c r="D26" s="65" t="s">
        <v>151</v>
      </c>
      <c r="E26" s="61" t="s">
        <v>163</v>
      </c>
      <c r="M26" s="18"/>
    </row>
    <row r="27" spans="2:17" ht="26.25" thickBot="1" x14ac:dyDescent="0.35">
      <c r="B27" s="63" t="s">
        <v>179</v>
      </c>
      <c r="C27" s="69">
        <v>0.1</v>
      </c>
      <c r="D27" s="65" t="s">
        <v>353</v>
      </c>
      <c r="E27" s="61" t="s">
        <v>168</v>
      </c>
      <c r="M27" s="18"/>
      <c r="O27" s="12" t="s">
        <v>359</v>
      </c>
      <c r="P27" s="1"/>
    </row>
    <row r="28" spans="2:17" ht="51.75" thickBot="1" x14ac:dyDescent="0.35">
      <c r="B28" s="63" t="s">
        <v>130</v>
      </c>
      <c r="C28" s="69">
        <v>0.1</v>
      </c>
      <c r="D28" s="65" t="s">
        <v>353</v>
      </c>
      <c r="E28" s="71" t="s">
        <v>172</v>
      </c>
      <c r="M28" s="18"/>
      <c r="O28" s="12"/>
      <c r="P28" s="1"/>
    </row>
    <row r="29" spans="2:17" x14ac:dyDescent="0.3">
      <c r="M29" s="18"/>
      <c r="O29" s="12" t="s">
        <v>216</v>
      </c>
      <c r="P29" s="72"/>
    </row>
    <row r="30" spans="2:17" ht="17.25" thickBot="1" x14ac:dyDescent="0.35">
      <c r="M30" s="18"/>
      <c r="O30" s="73" t="str">
        <f>+"Costos totales (Miles de soles "&amp;C7&amp;")"</f>
        <v>Costos totales (Miles de soles )</v>
      </c>
      <c r="P30" s="74"/>
    </row>
    <row r="31" spans="2:17" x14ac:dyDescent="0.3">
      <c r="M31" s="18"/>
      <c r="O31" s="75" t="s">
        <v>173</v>
      </c>
      <c r="P31" s="482">
        <f>Q20/1000</f>
        <v>403.73050074699131</v>
      </c>
    </row>
    <row r="32" spans="2:17" x14ac:dyDescent="0.3">
      <c r="M32" s="18"/>
    </row>
    <row r="33" spans="13:13" x14ac:dyDescent="0.3">
      <c r="M33" s="18"/>
    </row>
    <row r="34" spans="13:13" x14ac:dyDescent="0.3">
      <c r="M34" s="18"/>
    </row>
    <row r="35" spans="13:13" x14ac:dyDescent="0.3">
      <c r="M35" s="18"/>
    </row>
    <row r="36" spans="13:13" x14ac:dyDescent="0.3">
      <c r="M36" s="18"/>
    </row>
    <row r="37" spans="13:13" x14ac:dyDescent="0.3">
      <c r="M37" s="18"/>
    </row>
    <row r="38" spans="13:13" x14ac:dyDescent="0.3">
      <c r="M38" s="18"/>
    </row>
    <row r="39" spans="13:13" x14ac:dyDescent="0.3">
      <c r="M39" s="18"/>
    </row>
    <row r="40" spans="13:13" x14ac:dyDescent="0.3">
      <c r="M40" s="18"/>
    </row>
    <row r="41" spans="13:13" x14ac:dyDescent="0.3">
      <c r="M41" s="18"/>
    </row>
    <row r="42" spans="13:13" x14ac:dyDescent="0.3">
      <c r="M42" s="18"/>
    </row>
    <row r="43" spans="13:13" x14ac:dyDescent="0.3">
      <c r="M43" s="18"/>
    </row>
    <row r="44" spans="13:13" x14ac:dyDescent="0.3">
      <c r="M44" s="18"/>
    </row>
    <row r="45" spans="13:13" x14ac:dyDescent="0.3">
      <c r="M45" s="18"/>
    </row>
    <row r="46" spans="13:13" x14ac:dyDescent="0.3">
      <c r="M46" s="18"/>
    </row>
    <row r="47" spans="13:13" x14ac:dyDescent="0.3">
      <c r="M47" s="18"/>
    </row>
    <row r="48" spans="13:13" x14ac:dyDescent="0.3">
      <c r="M48" s="18"/>
    </row>
    <row r="49" spans="13:13" x14ac:dyDescent="0.3">
      <c r="M49" s="18"/>
    </row>
    <row r="50" spans="13:13" x14ac:dyDescent="0.3">
      <c r="M50" s="18"/>
    </row>
    <row r="51" spans="13:13" x14ac:dyDescent="0.3">
      <c r="M51" s="18"/>
    </row>
    <row r="52" spans="13:13" x14ac:dyDescent="0.3">
      <c r="M52" s="18"/>
    </row>
    <row r="53" spans="13:13" x14ac:dyDescent="0.3">
      <c r="M53" s="18"/>
    </row>
    <row r="54" spans="13:13" x14ac:dyDescent="0.3">
      <c r="M54" s="18"/>
    </row>
    <row r="55" spans="13:13" x14ac:dyDescent="0.3">
      <c r="M55" s="18"/>
    </row>
    <row r="56" spans="13:13" x14ac:dyDescent="0.3">
      <c r="M56" s="18"/>
    </row>
    <row r="57" spans="13:13" x14ac:dyDescent="0.3">
      <c r="M57" s="18"/>
    </row>
    <row r="58" spans="13:13" x14ac:dyDescent="0.3">
      <c r="M58" s="18"/>
    </row>
    <row r="59" spans="13:13" x14ac:dyDescent="0.3">
      <c r="M59" s="18"/>
    </row>
    <row r="60" spans="13:13" x14ac:dyDescent="0.3">
      <c r="M60" s="18"/>
    </row>
    <row r="61" spans="13:13" x14ac:dyDescent="0.3">
      <c r="M61" s="18"/>
    </row>
    <row r="62" spans="13:13" x14ac:dyDescent="0.3">
      <c r="M62" s="18"/>
    </row>
    <row r="63" spans="13:13" x14ac:dyDescent="0.3">
      <c r="M63" s="18"/>
    </row>
    <row r="64" spans="13:13" x14ac:dyDescent="0.3">
      <c r="M64" s="18"/>
    </row>
    <row r="65" spans="13:13" x14ac:dyDescent="0.3">
      <c r="M65" s="18"/>
    </row>
    <row r="66" spans="13:13" x14ac:dyDescent="0.3">
      <c r="M66" s="18"/>
    </row>
    <row r="67" spans="13:13" x14ac:dyDescent="0.3">
      <c r="M67" s="18"/>
    </row>
    <row r="68" spans="13:13" x14ac:dyDescent="0.3">
      <c r="M68" s="18"/>
    </row>
    <row r="69" spans="13:13" x14ac:dyDescent="0.3">
      <c r="M69" s="18"/>
    </row>
    <row r="70" spans="13:13" x14ac:dyDescent="0.3">
      <c r="M70" s="18"/>
    </row>
    <row r="71" spans="13:13" x14ac:dyDescent="0.3">
      <c r="M71" s="18"/>
    </row>
    <row r="72" spans="13:13" x14ac:dyDescent="0.3">
      <c r="M72" s="18"/>
    </row>
    <row r="73" spans="13:13" x14ac:dyDescent="0.3">
      <c r="M73" s="18"/>
    </row>
    <row r="74" spans="13:13" x14ac:dyDescent="0.3">
      <c r="M74" s="18"/>
    </row>
    <row r="75" spans="13:13" x14ac:dyDescent="0.3">
      <c r="M75" s="18"/>
    </row>
    <row r="76" spans="13:13" x14ac:dyDescent="0.3">
      <c r="M76" s="18"/>
    </row>
    <row r="77" spans="13:13" x14ac:dyDescent="0.3">
      <c r="M77" s="18"/>
    </row>
    <row r="78" spans="13:13" x14ac:dyDescent="0.3">
      <c r="M78" s="18"/>
    </row>
    <row r="79" spans="13:13" x14ac:dyDescent="0.3">
      <c r="M79" s="18"/>
    </row>
    <row r="80" spans="13:13" x14ac:dyDescent="0.3">
      <c r="M80" s="18"/>
    </row>
    <row r="81" spans="13:13" x14ac:dyDescent="0.3">
      <c r="M81" s="18"/>
    </row>
    <row r="82" spans="13:13" x14ac:dyDescent="0.3">
      <c r="M82" s="18"/>
    </row>
    <row r="83" spans="13:13" x14ac:dyDescent="0.3">
      <c r="M83" s="18"/>
    </row>
    <row r="84" spans="13:13" x14ac:dyDescent="0.3">
      <c r="M84" s="18"/>
    </row>
    <row r="85" spans="13:13" x14ac:dyDescent="0.3">
      <c r="M85" s="18"/>
    </row>
    <row r="86" spans="13:13" x14ac:dyDescent="0.3">
      <c r="M86" s="18"/>
    </row>
  </sheetData>
  <mergeCells count="14">
    <mergeCell ref="I6:K7"/>
    <mergeCell ref="I8:K9"/>
    <mergeCell ref="O22:P22"/>
    <mergeCell ref="O23:O25"/>
    <mergeCell ref="O19:P19"/>
    <mergeCell ref="O21:P21"/>
    <mergeCell ref="B6:C7"/>
    <mergeCell ref="D6:E7"/>
    <mergeCell ref="F6:F7"/>
    <mergeCell ref="G6:H7"/>
    <mergeCell ref="B8:C9"/>
    <mergeCell ref="D8:E9"/>
    <mergeCell ref="F8:F9"/>
    <mergeCell ref="G8:H9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B1:AF81"/>
  <sheetViews>
    <sheetView topLeftCell="A19" zoomScaleNormal="100" workbookViewId="0">
      <selection activeCell="E36" sqref="E36"/>
    </sheetView>
  </sheetViews>
  <sheetFormatPr defaultColWidth="11" defaultRowHeight="16.5" x14ac:dyDescent="0.3"/>
  <cols>
    <col min="1" max="1" width="3.7109375" style="2" customWidth="1"/>
    <col min="2" max="2" width="27" style="2" customWidth="1"/>
    <col min="3" max="3" width="18.42578125" style="2" customWidth="1"/>
    <col min="4" max="4" width="19.85546875" style="2" customWidth="1"/>
    <col min="5" max="5" width="45.5703125" style="2" customWidth="1"/>
    <col min="6" max="6" width="14.42578125" style="2" bestFit="1" customWidth="1"/>
    <col min="7" max="7" width="19" style="2" customWidth="1"/>
    <col min="8" max="8" width="8.7109375" style="2" customWidth="1"/>
    <col min="9" max="11" width="11" style="2"/>
    <col min="12" max="12" width="4" style="2" customWidth="1"/>
    <col min="13" max="13" width="7.7109375" style="2" customWidth="1"/>
    <col min="14" max="14" width="3.5703125" style="2" customWidth="1"/>
    <col min="15" max="15" width="29.5703125" style="2" customWidth="1"/>
    <col min="16" max="16" width="29.42578125" style="2" customWidth="1"/>
    <col min="17" max="17" width="25" style="2" bestFit="1" customWidth="1"/>
    <col min="18" max="18" width="9.140625" style="2" bestFit="1" customWidth="1"/>
    <col min="19" max="16384" width="11" style="2"/>
  </cols>
  <sheetData>
    <row r="1" spans="2:32" x14ac:dyDescent="0.3">
      <c r="M1" s="18"/>
    </row>
    <row r="2" spans="2:32" s="1" customFormat="1" ht="15" customHeight="1" x14ac:dyDescent="0.3">
      <c r="B2" s="9"/>
      <c r="C2" s="9"/>
      <c r="D2" s="9"/>
      <c r="E2" s="9"/>
      <c r="F2" s="9"/>
      <c r="G2" s="9"/>
      <c r="H2" s="10"/>
      <c r="I2" s="10"/>
      <c r="J2" s="10"/>
      <c r="K2" s="10"/>
      <c r="L2" s="10"/>
      <c r="M2" s="18"/>
      <c r="O2" s="19" t="s">
        <v>86</v>
      </c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F2" s="20"/>
    </row>
    <row r="3" spans="2:32" x14ac:dyDescent="0.3">
      <c r="M3" s="18"/>
    </row>
    <row r="4" spans="2:32" x14ac:dyDescent="0.3">
      <c r="B4" s="12" t="s">
        <v>208</v>
      </c>
      <c r="C4" s="1"/>
      <c r="D4" s="1"/>
      <c r="E4" s="1"/>
      <c r="F4" s="1"/>
      <c r="G4" s="1"/>
      <c r="H4" s="1"/>
      <c r="I4" s="1"/>
      <c r="J4" s="1"/>
      <c r="K4" s="1"/>
      <c r="M4" s="18"/>
      <c r="O4" s="13" t="s">
        <v>209</v>
      </c>
    </row>
    <row r="5" spans="2:32" x14ac:dyDescent="0.3">
      <c r="B5" s="1"/>
      <c r="C5" s="1"/>
      <c r="D5" s="12"/>
      <c r="E5" s="12"/>
      <c r="F5" s="12"/>
      <c r="G5" s="12"/>
      <c r="H5" s="1"/>
      <c r="I5" s="1"/>
      <c r="J5" s="1"/>
      <c r="K5" s="1"/>
      <c r="M5" s="18"/>
      <c r="O5" s="77"/>
      <c r="P5" s="20"/>
    </row>
    <row r="6" spans="2:32" ht="27.75" thickBot="1" x14ac:dyDescent="0.35">
      <c r="B6" s="383" t="s">
        <v>32</v>
      </c>
      <c r="C6" s="384"/>
      <c r="D6" s="383" t="s">
        <v>33</v>
      </c>
      <c r="E6" s="384"/>
      <c r="F6" s="387" t="s">
        <v>34</v>
      </c>
      <c r="G6" s="383" t="s">
        <v>35</v>
      </c>
      <c r="H6" s="384"/>
      <c r="I6" s="383" t="s">
        <v>36</v>
      </c>
      <c r="J6" s="399"/>
      <c r="K6" s="384"/>
      <c r="M6" s="18"/>
      <c r="O6" s="28" t="s">
        <v>174</v>
      </c>
      <c r="P6" s="29" t="s">
        <v>224</v>
      </c>
    </row>
    <row r="7" spans="2:32" ht="17.25" thickBot="1" x14ac:dyDescent="0.35">
      <c r="B7" s="385"/>
      <c r="C7" s="386"/>
      <c r="D7" s="385"/>
      <c r="E7" s="386"/>
      <c r="F7" s="388"/>
      <c r="G7" s="385"/>
      <c r="H7" s="386"/>
      <c r="I7" s="385"/>
      <c r="J7" s="400"/>
      <c r="K7" s="386"/>
      <c r="M7" s="18"/>
      <c r="O7" s="36">
        <f>C14</f>
        <v>1692.606919259297</v>
      </c>
      <c r="P7" s="37">
        <f>D14</f>
        <v>50000</v>
      </c>
    </row>
    <row r="8" spans="2:32" x14ac:dyDescent="0.3">
      <c r="B8" s="389" t="s">
        <v>180</v>
      </c>
      <c r="C8" s="390"/>
      <c r="D8" s="393" t="s">
        <v>181</v>
      </c>
      <c r="E8" s="394"/>
      <c r="F8" s="397" t="s">
        <v>152</v>
      </c>
      <c r="G8" s="389" t="s">
        <v>175</v>
      </c>
      <c r="H8" s="390"/>
      <c r="I8" s="389" t="s">
        <v>176</v>
      </c>
      <c r="J8" s="401"/>
      <c r="K8" s="390"/>
      <c r="M8" s="18"/>
      <c r="O8" s="78"/>
      <c r="P8" s="78"/>
      <c r="Q8" s="78"/>
      <c r="R8" s="78"/>
      <c r="S8" s="78"/>
      <c r="T8" s="78"/>
      <c r="U8" s="78"/>
      <c r="V8" s="78"/>
    </row>
    <row r="9" spans="2:32" ht="20.25" customHeight="1" x14ac:dyDescent="0.3">
      <c r="B9" s="391"/>
      <c r="C9" s="392"/>
      <c r="D9" s="395"/>
      <c r="E9" s="396"/>
      <c r="F9" s="398"/>
      <c r="G9" s="391"/>
      <c r="H9" s="392"/>
      <c r="I9" s="391"/>
      <c r="J9" s="402"/>
      <c r="K9" s="392"/>
      <c r="M9" s="18"/>
      <c r="R9" s="78"/>
      <c r="S9" s="78"/>
      <c r="T9" s="78"/>
      <c r="U9" s="78"/>
      <c r="V9" s="78"/>
    </row>
    <row r="10" spans="2:32" x14ac:dyDescent="0.3">
      <c r="M10" s="18"/>
      <c r="O10" s="15" t="s">
        <v>222</v>
      </c>
      <c r="R10" s="78"/>
      <c r="S10" s="78"/>
      <c r="T10" s="78"/>
      <c r="U10" s="78"/>
      <c r="V10" s="78"/>
    </row>
    <row r="11" spans="2:32" ht="26.25" thickBot="1" x14ac:dyDescent="0.35">
      <c r="B11" s="13" t="s">
        <v>212</v>
      </c>
      <c r="M11" s="18"/>
      <c r="O11" s="79" t="s">
        <v>2</v>
      </c>
      <c r="P11" s="80"/>
      <c r="Q11" s="22" t="s">
        <v>223</v>
      </c>
      <c r="R11" s="78"/>
      <c r="S11" s="78"/>
      <c r="T11" s="78"/>
      <c r="U11" s="78"/>
      <c r="V11" s="78"/>
    </row>
    <row r="12" spans="2:32" x14ac:dyDescent="0.3">
      <c r="B12" s="1"/>
      <c r="C12" s="1"/>
      <c r="D12" s="1"/>
      <c r="E12" s="1"/>
      <c r="F12" s="1"/>
      <c r="G12" s="1"/>
      <c r="H12" s="1"/>
      <c r="M12" s="18"/>
      <c r="O12" s="410" t="s">
        <v>225</v>
      </c>
      <c r="P12" s="411"/>
      <c r="Q12" s="62">
        <f>SUM(Q13:Q14)</f>
        <v>88861863.261113092</v>
      </c>
      <c r="R12" s="78"/>
      <c r="S12" s="78"/>
      <c r="T12" s="78"/>
      <c r="U12" s="78"/>
      <c r="V12" s="78"/>
    </row>
    <row r="13" spans="2:32" ht="27.75" thickBot="1" x14ac:dyDescent="0.35">
      <c r="B13" s="27" t="s">
        <v>42</v>
      </c>
      <c r="C13" s="28" t="s">
        <v>174</v>
      </c>
      <c r="D13" s="30" t="s">
        <v>224</v>
      </c>
      <c r="E13" s="31"/>
      <c r="F13" s="32"/>
      <c r="G13" s="32"/>
      <c r="H13" s="32"/>
      <c r="I13" s="33"/>
      <c r="M13" s="18"/>
      <c r="O13" s="403" t="s">
        <v>27</v>
      </c>
      <c r="P13" s="404"/>
      <c r="Q13" s="82">
        <f>C19*C21*C22</f>
        <v>84630345.962964848</v>
      </c>
      <c r="R13" s="78"/>
      <c r="S13" s="78"/>
      <c r="T13" s="78"/>
      <c r="U13" s="78"/>
      <c r="V13" s="78"/>
    </row>
    <row r="14" spans="2:32" x14ac:dyDescent="0.3">
      <c r="B14" s="35">
        <v>2018</v>
      </c>
      <c r="C14" s="355">
        <f>C19*C21</f>
        <v>1692.606919259297</v>
      </c>
      <c r="D14" s="38">
        <f>C22</f>
        <v>50000</v>
      </c>
      <c r="E14" s="81"/>
      <c r="F14" s="40"/>
      <c r="G14" s="40"/>
      <c r="H14" s="41"/>
      <c r="I14" s="33"/>
      <c r="M14" s="18"/>
      <c r="O14" s="403" t="s">
        <v>193</v>
      </c>
      <c r="P14" s="404"/>
      <c r="Q14" s="82">
        <f>Q13*LEFT(RIGHT(O14,3),2)</f>
        <v>4231517.2981482428</v>
      </c>
      <c r="R14" s="78"/>
      <c r="S14" s="78"/>
      <c r="T14" s="78"/>
      <c r="U14" s="78"/>
      <c r="V14" s="78"/>
    </row>
    <row r="15" spans="2:32" x14ac:dyDescent="0.3">
      <c r="B15" s="1"/>
      <c r="C15" s="1"/>
      <c r="D15" s="1"/>
      <c r="E15" s="1"/>
      <c r="F15" s="1"/>
      <c r="G15" s="1"/>
      <c r="H15" s="1"/>
      <c r="M15" s="18"/>
      <c r="O15" s="414" t="s">
        <v>0</v>
      </c>
      <c r="P15" s="66" t="s">
        <v>23</v>
      </c>
      <c r="Q15" s="67">
        <f>LEFT(RIGHT(P15,4),3)*$Q$12</f>
        <v>44430931.630556546</v>
      </c>
      <c r="R15" s="78"/>
      <c r="S15" s="78"/>
      <c r="T15" s="78"/>
      <c r="U15" s="78"/>
      <c r="V15" s="78"/>
    </row>
    <row r="16" spans="2:32" x14ac:dyDescent="0.3">
      <c r="B16" s="1"/>
      <c r="C16" s="1"/>
      <c r="D16" s="1"/>
      <c r="E16" s="1"/>
      <c r="F16" s="1"/>
      <c r="G16" s="1"/>
      <c r="H16" s="1"/>
      <c r="M16" s="18"/>
      <c r="O16" s="415"/>
      <c r="P16" s="68" t="s">
        <v>129</v>
      </c>
      <c r="Q16" s="67">
        <f>LEFT(RIGHT(P16,4),3)*$Q$12</f>
        <v>44430931.630556546</v>
      </c>
      <c r="R16" s="78"/>
      <c r="S16" s="78"/>
      <c r="T16" s="78"/>
      <c r="U16" s="78"/>
      <c r="V16" s="78"/>
    </row>
    <row r="17" spans="2:22" x14ac:dyDescent="0.3">
      <c r="B17" s="12" t="s">
        <v>215</v>
      </c>
      <c r="M17" s="18"/>
      <c r="O17" s="412" t="s">
        <v>1</v>
      </c>
      <c r="P17" s="413"/>
      <c r="Q17" s="45">
        <f>Q12-Q15-Q16</f>
        <v>0</v>
      </c>
      <c r="R17" s="78"/>
      <c r="S17" s="78"/>
      <c r="T17" s="78"/>
      <c r="U17" s="78"/>
      <c r="V17" s="78"/>
    </row>
    <row r="18" spans="2:22" ht="17.25" thickBot="1" x14ac:dyDescent="0.35">
      <c r="B18" s="46" t="s">
        <v>9</v>
      </c>
      <c r="C18" s="47" t="s">
        <v>10</v>
      </c>
      <c r="D18" s="48" t="s">
        <v>11</v>
      </c>
      <c r="E18" s="48" t="s">
        <v>12</v>
      </c>
      <c r="M18" s="18"/>
    </row>
    <row r="19" spans="2:22" ht="64.5" thickBot="1" x14ac:dyDescent="0.35">
      <c r="B19" s="50" t="s">
        <v>191</v>
      </c>
      <c r="C19" s="51">
        <v>2108</v>
      </c>
      <c r="D19" s="52" t="s">
        <v>19</v>
      </c>
      <c r="E19" s="53" t="s">
        <v>192</v>
      </c>
      <c r="M19" s="18"/>
      <c r="O19" s="12" t="s">
        <v>358</v>
      </c>
      <c r="P19" s="1"/>
    </row>
    <row r="20" spans="2:22" ht="76.5" x14ac:dyDescent="0.3">
      <c r="B20" s="55" t="s">
        <v>186</v>
      </c>
      <c r="C20" s="83">
        <f>SUM(C26:C42)</f>
        <v>247</v>
      </c>
      <c r="D20" s="57" t="s">
        <v>19</v>
      </c>
      <c r="E20" s="84" t="s">
        <v>226</v>
      </c>
      <c r="M20" s="18"/>
      <c r="O20" s="12"/>
      <c r="P20" s="1"/>
    </row>
    <row r="21" spans="2:22" ht="51.75" thickBot="1" x14ac:dyDescent="0.35">
      <c r="B21" s="55" t="s">
        <v>25</v>
      </c>
      <c r="C21" s="85">
        <f>AVERAGE(E26:E42)</f>
        <v>0.80294445885165888</v>
      </c>
      <c r="D21" s="57" t="s">
        <v>21</v>
      </c>
      <c r="E21" s="58" t="s">
        <v>187</v>
      </c>
      <c r="M21" s="18"/>
      <c r="O21" s="12"/>
      <c r="P21" s="1"/>
    </row>
    <row r="22" spans="2:22" ht="17.25" thickBot="1" x14ac:dyDescent="0.35">
      <c r="B22" s="63" t="s">
        <v>26</v>
      </c>
      <c r="C22" s="86">
        <v>50000</v>
      </c>
      <c r="D22" s="65" t="s">
        <v>22</v>
      </c>
      <c r="E22" s="58" t="s">
        <v>150</v>
      </c>
      <c r="M22" s="18"/>
      <c r="O22" s="12" t="s">
        <v>216</v>
      </c>
      <c r="P22" s="1"/>
    </row>
    <row r="23" spans="2:22" x14ac:dyDescent="0.3">
      <c r="B23" s="87"/>
      <c r="C23" s="87"/>
      <c r="D23" s="88"/>
      <c r="E23" s="89"/>
      <c r="L23" s="43"/>
      <c r="M23" s="18"/>
      <c r="O23" s="72"/>
      <c r="P23" s="72"/>
    </row>
    <row r="24" spans="2:22" ht="17.25" thickBot="1" x14ac:dyDescent="0.35">
      <c r="B24" s="1" t="s">
        <v>378</v>
      </c>
      <c r="C24" s="1"/>
      <c r="D24" s="1"/>
      <c r="E24" s="1"/>
      <c r="M24" s="18"/>
      <c r="O24" s="73" t="str">
        <f>+"Costos totales (Miles de soles "&amp;C7&amp;")"</f>
        <v>Costos totales (Miles de soles )</v>
      </c>
      <c r="P24" s="74"/>
    </row>
    <row r="25" spans="2:22" ht="27.75" thickBot="1" x14ac:dyDescent="0.35">
      <c r="B25" s="27" t="s">
        <v>188</v>
      </c>
      <c r="C25" s="30" t="s">
        <v>377</v>
      </c>
      <c r="D25" s="30" t="s">
        <v>189</v>
      </c>
      <c r="E25" s="29" t="s">
        <v>227</v>
      </c>
      <c r="M25" s="18"/>
      <c r="O25" s="75" t="s">
        <v>173</v>
      </c>
      <c r="P25" s="76">
        <f>Q12/1000</f>
        <v>88861.863261113089</v>
      </c>
    </row>
    <row r="26" spans="2:22" x14ac:dyDescent="0.3">
      <c r="B26" s="90" t="str">
        <f>[2]Resumen!B4</f>
        <v>Gobierno Nacional</v>
      </c>
      <c r="C26" s="90">
        <v>6</v>
      </c>
      <c r="D26" s="90">
        <v>6</v>
      </c>
      <c r="E26" s="483">
        <f>[2]Resumen!E4</f>
        <v>1</v>
      </c>
      <c r="G26" s="91"/>
      <c r="M26" s="18"/>
    </row>
    <row r="27" spans="2:22" x14ac:dyDescent="0.3">
      <c r="B27" s="90" t="str">
        <f>[2]Resumen!B5</f>
        <v>Gobiernos Regionales</v>
      </c>
      <c r="C27" s="34">
        <v>26</v>
      </c>
      <c r="D27" s="34">
        <v>25</v>
      </c>
      <c r="E27" s="484">
        <f>[2]Resumen!E5</f>
        <v>0.96153846153846156</v>
      </c>
      <c r="G27" s="91"/>
      <c r="M27" s="18"/>
    </row>
    <row r="28" spans="2:22" x14ac:dyDescent="0.3">
      <c r="B28" s="90" t="str">
        <f>[2]Resumen!B6</f>
        <v>Gobiernos Locales (Municipalidades provinciales y distritales)</v>
      </c>
      <c r="C28" s="34">
        <v>39</v>
      </c>
      <c r="D28" s="34">
        <v>7</v>
      </c>
      <c r="E28" s="484">
        <f>[2]Resumen!E6</f>
        <v>0.17948717948717949</v>
      </c>
      <c r="G28" s="91"/>
      <c r="M28" s="18"/>
    </row>
    <row r="29" spans="2:22" x14ac:dyDescent="0.3">
      <c r="B29" s="90" t="str">
        <f>[2]Resumen!B7</f>
        <v>Presidencia del Consejo de Ministros</v>
      </c>
      <c r="C29" s="34">
        <v>16</v>
      </c>
      <c r="D29" s="34">
        <v>11</v>
      </c>
      <c r="E29" s="484">
        <f>[2]Resumen!E7</f>
        <v>0.6875</v>
      </c>
      <c r="G29" s="91"/>
      <c r="M29" s="18"/>
    </row>
    <row r="30" spans="2:22" x14ac:dyDescent="0.3">
      <c r="B30" s="90" t="str">
        <f>[2]Resumen!B8</f>
        <v>Ministerio de Economia y Finanzas</v>
      </c>
      <c r="C30" s="34">
        <v>7</v>
      </c>
      <c r="D30" s="34">
        <v>6</v>
      </c>
      <c r="E30" s="484">
        <f>[2]Resumen!E8</f>
        <v>0.8571428571428571</v>
      </c>
      <c r="G30" s="91"/>
      <c r="M30" s="18"/>
    </row>
    <row r="31" spans="2:22" x14ac:dyDescent="0.3">
      <c r="B31" s="90" t="str">
        <f>[2]Resumen!B9</f>
        <v>Ministerio de Comercio Exterior y Turismo</v>
      </c>
      <c r="C31" s="34">
        <v>3</v>
      </c>
      <c r="D31" s="34">
        <v>3</v>
      </c>
      <c r="E31" s="484">
        <f>[2]Resumen!E9</f>
        <v>1</v>
      </c>
      <c r="G31" s="91"/>
      <c r="M31" s="18"/>
    </row>
    <row r="32" spans="2:22" x14ac:dyDescent="0.3">
      <c r="B32" s="90" t="str">
        <f>[2]Resumen!B10</f>
        <v>Ministerio Publico</v>
      </c>
      <c r="C32" s="34">
        <v>8</v>
      </c>
      <c r="D32" s="34">
        <v>8</v>
      </c>
      <c r="E32" s="484">
        <f>[2]Resumen!E10</f>
        <v>1</v>
      </c>
      <c r="G32" s="91"/>
      <c r="M32" s="18"/>
    </row>
    <row r="33" spans="2:13" x14ac:dyDescent="0.3">
      <c r="B33" s="90" t="str">
        <f>[2]Resumen!B11</f>
        <v>Ministerio de Agricultura y Riego</v>
      </c>
      <c r="C33" s="34">
        <v>6</v>
      </c>
      <c r="D33" s="34">
        <v>5</v>
      </c>
      <c r="E33" s="484">
        <f>[2]Resumen!E11</f>
        <v>0.83333333333333337</v>
      </c>
      <c r="G33" s="91"/>
      <c r="M33" s="18"/>
    </row>
    <row r="34" spans="2:13" x14ac:dyDescent="0.3">
      <c r="B34" s="90" t="str">
        <f>[2]Resumen!B12</f>
        <v>Ministerio de Cultura</v>
      </c>
      <c r="C34" s="34">
        <v>4</v>
      </c>
      <c r="D34" s="34">
        <v>4</v>
      </c>
      <c r="E34" s="484">
        <f>[2]Resumen!E12</f>
        <v>1</v>
      </c>
      <c r="G34" s="91"/>
      <c r="M34" s="18"/>
    </row>
    <row r="35" spans="2:13" x14ac:dyDescent="0.3">
      <c r="B35" s="90" t="str">
        <f>[2]Resumen!B13</f>
        <v>Poder Judicial</v>
      </c>
      <c r="C35" s="34">
        <v>17</v>
      </c>
      <c r="D35" s="34">
        <v>16</v>
      </c>
      <c r="E35" s="484">
        <f>[2]Resumen!E13</f>
        <v>0.94117647058823528</v>
      </c>
      <c r="G35" s="91"/>
      <c r="M35" s="18"/>
    </row>
    <row r="36" spans="2:13" x14ac:dyDescent="0.3">
      <c r="B36" s="90" t="str">
        <f>[2]Resumen!B14</f>
        <v>Ministerio de Ambiente</v>
      </c>
      <c r="C36" s="34">
        <v>8</v>
      </c>
      <c r="D36" s="34">
        <v>6</v>
      </c>
      <c r="E36" s="484">
        <f>[2]Resumen!E14</f>
        <v>0.75</v>
      </c>
      <c r="G36" s="91"/>
      <c r="M36" s="18"/>
    </row>
    <row r="37" spans="2:13" x14ac:dyDescent="0.3">
      <c r="B37" s="90" t="str">
        <f>[2]Resumen!B15</f>
        <v>Ministerio de Energía y Minas</v>
      </c>
      <c r="C37" s="34">
        <v>3</v>
      </c>
      <c r="D37" s="34">
        <v>3</v>
      </c>
      <c r="E37" s="484">
        <f>[2]Resumen!E15</f>
        <v>1</v>
      </c>
      <c r="G37" s="91"/>
      <c r="M37" s="18"/>
    </row>
    <row r="38" spans="2:13" x14ac:dyDescent="0.3">
      <c r="B38" s="90" t="str">
        <f>[2]Resumen!B16</f>
        <v>Ministerio de Produccion</v>
      </c>
      <c r="C38" s="34">
        <v>6</v>
      </c>
      <c r="D38" s="34">
        <v>6</v>
      </c>
      <c r="E38" s="484">
        <f>[2]Resumen!E16</f>
        <v>1</v>
      </c>
      <c r="M38" s="18"/>
    </row>
    <row r="39" spans="2:13" x14ac:dyDescent="0.3">
      <c r="B39" s="90" t="str">
        <f>[2]Resumen!B17</f>
        <v>Ministerio de Transportes y Comunicaciones</v>
      </c>
      <c r="C39" s="34">
        <v>3</v>
      </c>
      <c r="D39" s="34">
        <v>2</v>
      </c>
      <c r="E39" s="484">
        <f>[2]Resumen!E17</f>
        <v>0.66666666666666663</v>
      </c>
      <c r="M39" s="18"/>
    </row>
    <row r="40" spans="2:13" x14ac:dyDescent="0.3">
      <c r="B40" s="90" t="str">
        <f>[2]Resumen!B18</f>
        <v>Hospitales de Lima</v>
      </c>
      <c r="C40" s="34">
        <v>44</v>
      </c>
      <c r="D40" s="34">
        <v>27</v>
      </c>
      <c r="E40" s="484">
        <f>[2]Resumen!E18</f>
        <v>0.61363636363636365</v>
      </c>
      <c r="M40" s="18"/>
    </row>
    <row r="41" spans="2:13" x14ac:dyDescent="0.3">
      <c r="B41" s="90" t="str">
        <f>[2]Resumen!B19</f>
        <v>Universidades Públicas</v>
      </c>
      <c r="C41" s="34">
        <v>47</v>
      </c>
      <c r="D41" s="34">
        <v>31</v>
      </c>
      <c r="E41" s="484">
        <f>[2]Resumen!E19</f>
        <v>0.65957446808510634</v>
      </c>
      <c r="M41" s="18"/>
    </row>
    <row r="42" spans="2:13" x14ac:dyDescent="0.3">
      <c r="B42" s="90" t="str">
        <f>[2]Resumen!B20</f>
        <v>Ministerio de Defensa</v>
      </c>
      <c r="C42" s="34">
        <v>4</v>
      </c>
      <c r="D42" s="34">
        <v>2</v>
      </c>
      <c r="E42" s="484">
        <f>[2]Resumen!E20</f>
        <v>0.5</v>
      </c>
      <c r="M42" s="18"/>
    </row>
    <row r="43" spans="2:13" x14ac:dyDescent="0.3">
      <c r="B43" s="242" t="s">
        <v>190</v>
      </c>
      <c r="C43" s="1"/>
      <c r="D43" s="1"/>
      <c r="E43" s="1"/>
      <c r="M43" s="18"/>
    </row>
    <row r="44" spans="2:13" x14ac:dyDescent="0.3">
      <c r="B44" s="1" t="s">
        <v>356</v>
      </c>
      <c r="C44" s="1"/>
      <c r="D44" s="1"/>
      <c r="E44" s="1"/>
      <c r="M44" s="18"/>
    </row>
    <row r="45" spans="2:13" x14ac:dyDescent="0.3">
      <c r="B45" s="1"/>
      <c r="C45" s="1"/>
      <c r="D45" s="1"/>
      <c r="E45" s="1"/>
      <c r="M45" s="18"/>
    </row>
    <row r="46" spans="2:13" x14ac:dyDescent="0.3">
      <c r="M46" s="18"/>
    </row>
    <row r="47" spans="2:13" x14ac:dyDescent="0.3">
      <c r="M47" s="18"/>
    </row>
    <row r="48" spans="2:13" x14ac:dyDescent="0.3">
      <c r="M48" s="18"/>
    </row>
    <row r="49" spans="13:13" x14ac:dyDescent="0.3">
      <c r="M49" s="18"/>
    </row>
    <row r="50" spans="13:13" x14ac:dyDescent="0.3">
      <c r="M50" s="18"/>
    </row>
    <row r="51" spans="13:13" x14ac:dyDescent="0.3">
      <c r="M51" s="18"/>
    </row>
    <row r="52" spans="13:13" x14ac:dyDescent="0.3">
      <c r="M52" s="18"/>
    </row>
    <row r="53" spans="13:13" x14ac:dyDescent="0.3">
      <c r="M53" s="18"/>
    </row>
    <row r="54" spans="13:13" x14ac:dyDescent="0.3">
      <c r="M54" s="18"/>
    </row>
    <row r="55" spans="13:13" x14ac:dyDescent="0.3">
      <c r="M55" s="18"/>
    </row>
    <row r="56" spans="13:13" x14ac:dyDescent="0.3">
      <c r="M56" s="18"/>
    </row>
    <row r="57" spans="13:13" x14ac:dyDescent="0.3">
      <c r="M57" s="18"/>
    </row>
    <row r="58" spans="13:13" x14ac:dyDescent="0.3">
      <c r="M58" s="18"/>
    </row>
    <row r="59" spans="13:13" x14ac:dyDescent="0.3">
      <c r="M59" s="18"/>
    </row>
    <row r="60" spans="13:13" x14ac:dyDescent="0.3">
      <c r="M60" s="18"/>
    </row>
    <row r="61" spans="13:13" x14ac:dyDescent="0.3">
      <c r="M61" s="18"/>
    </row>
    <row r="62" spans="13:13" x14ac:dyDescent="0.3">
      <c r="M62" s="18"/>
    </row>
    <row r="63" spans="13:13" x14ac:dyDescent="0.3">
      <c r="M63" s="18"/>
    </row>
    <row r="64" spans="13:13" x14ac:dyDescent="0.3">
      <c r="M64" s="18"/>
    </row>
    <row r="65" spans="13:13" x14ac:dyDescent="0.3">
      <c r="M65" s="18"/>
    </row>
    <row r="66" spans="13:13" x14ac:dyDescent="0.3">
      <c r="M66" s="18"/>
    </row>
    <row r="67" spans="13:13" x14ac:dyDescent="0.3">
      <c r="M67" s="18"/>
    </row>
    <row r="68" spans="13:13" x14ac:dyDescent="0.3">
      <c r="M68" s="18"/>
    </row>
    <row r="69" spans="13:13" x14ac:dyDescent="0.3">
      <c r="M69" s="18"/>
    </row>
    <row r="70" spans="13:13" x14ac:dyDescent="0.3">
      <c r="M70" s="18"/>
    </row>
    <row r="71" spans="13:13" x14ac:dyDescent="0.3">
      <c r="M71" s="18"/>
    </row>
    <row r="72" spans="13:13" x14ac:dyDescent="0.3">
      <c r="M72" s="18"/>
    </row>
    <row r="73" spans="13:13" x14ac:dyDescent="0.3">
      <c r="M73" s="18"/>
    </row>
    <row r="74" spans="13:13" x14ac:dyDescent="0.3">
      <c r="M74" s="18"/>
    </row>
    <row r="75" spans="13:13" x14ac:dyDescent="0.3">
      <c r="M75" s="18"/>
    </row>
    <row r="76" spans="13:13" x14ac:dyDescent="0.3">
      <c r="M76" s="18"/>
    </row>
    <row r="77" spans="13:13" x14ac:dyDescent="0.3">
      <c r="M77" s="18"/>
    </row>
    <row r="78" spans="13:13" x14ac:dyDescent="0.3">
      <c r="M78" s="18"/>
    </row>
    <row r="79" spans="13:13" x14ac:dyDescent="0.3">
      <c r="M79" s="18"/>
    </row>
    <row r="80" spans="13:13" x14ac:dyDescent="0.3">
      <c r="M80" s="18"/>
    </row>
    <row r="81" spans="13:13" x14ac:dyDescent="0.3">
      <c r="M81" s="18"/>
    </row>
  </sheetData>
  <sortState ref="G24:G35">
    <sortCondition ref="G24"/>
  </sortState>
  <mergeCells count="15">
    <mergeCell ref="B6:C7"/>
    <mergeCell ref="D6:E7"/>
    <mergeCell ref="F6:F7"/>
    <mergeCell ref="G6:H7"/>
    <mergeCell ref="I6:K7"/>
    <mergeCell ref="B8:C9"/>
    <mergeCell ref="D8:E9"/>
    <mergeCell ref="F8:F9"/>
    <mergeCell ref="G8:H9"/>
    <mergeCell ref="I8:K9"/>
    <mergeCell ref="O13:P13"/>
    <mergeCell ref="O12:P12"/>
    <mergeCell ref="O14:P14"/>
    <mergeCell ref="O17:P17"/>
    <mergeCell ref="O15:O16"/>
  </mergeCells>
  <pageMargins left="0.7" right="0.7" top="0.75" bottom="0.75" header="0.3" footer="0.3"/>
  <pageSetup orientation="portrait" horizontalDpi="4294967293" verticalDpi="4294967293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2:D16"/>
  <sheetViews>
    <sheetView workbookViewId="0">
      <selection activeCell="D16" sqref="D16"/>
    </sheetView>
  </sheetViews>
  <sheetFormatPr defaultColWidth="11" defaultRowHeight="16.5" x14ac:dyDescent="0.3"/>
  <cols>
    <col min="1" max="1" width="2.85546875" style="2" customWidth="1"/>
    <col min="2" max="2" width="17.5703125" style="2" bestFit="1" customWidth="1"/>
    <col min="3" max="3" width="41.42578125" style="2" customWidth="1"/>
    <col min="4" max="4" width="11.42578125" style="2" bestFit="1" customWidth="1"/>
    <col min="5" max="16384" width="11" style="2"/>
  </cols>
  <sheetData>
    <row r="2" spans="2:4" ht="39" thickBot="1" x14ac:dyDescent="0.35">
      <c r="B2" s="418" t="s">
        <v>2</v>
      </c>
      <c r="C2" s="418"/>
      <c r="D2" s="22" t="s">
        <v>223</v>
      </c>
    </row>
    <row r="3" spans="2:4" x14ac:dyDescent="0.3">
      <c r="B3" s="419" t="s">
        <v>132</v>
      </c>
      <c r="C3" s="420"/>
      <c r="D3" s="353">
        <f>'MH1'!Q20</f>
        <v>403730.50074699131</v>
      </c>
    </row>
    <row r="4" spans="2:4" x14ac:dyDescent="0.3">
      <c r="B4" s="416" t="s">
        <v>3</v>
      </c>
      <c r="C4" s="416"/>
      <c r="D4" s="62">
        <f>'MH1'!Q21</f>
        <v>367027.72795181029</v>
      </c>
    </row>
    <row r="5" spans="2:4" x14ac:dyDescent="0.3">
      <c r="B5" s="416" t="s">
        <v>20</v>
      </c>
      <c r="C5" s="416"/>
      <c r="D5" s="62">
        <f>'MH1'!Q22</f>
        <v>36702.77279518103</v>
      </c>
    </row>
    <row r="6" spans="2:4" x14ac:dyDescent="0.3">
      <c r="B6" s="417" t="s">
        <v>0</v>
      </c>
      <c r="C6" s="66" t="s">
        <v>28</v>
      </c>
      <c r="D6" s="354">
        <f>'MH1'!Q23</f>
        <v>403730.50074699131</v>
      </c>
    </row>
    <row r="7" spans="2:4" x14ac:dyDescent="0.3">
      <c r="B7" s="417"/>
      <c r="C7" s="68" t="s">
        <v>130</v>
      </c>
      <c r="D7" s="67">
        <v>0</v>
      </c>
    </row>
    <row r="8" spans="2:4" x14ac:dyDescent="0.3">
      <c r="B8" s="417"/>
      <c r="C8" s="70" t="s">
        <v>1</v>
      </c>
      <c r="D8" s="45">
        <f>D3-D6-D7</f>
        <v>0</v>
      </c>
    </row>
    <row r="9" spans="2:4" x14ac:dyDescent="0.3">
      <c r="B9" s="421" t="s">
        <v>131</v>
      </c>
      <c r="C9" s="422"/>
      <c r="D9" s="353">
        <f>'MH2'!Q12</f>
        <v>88861863.261113092</v>
      </c>
    </row>
    <row r="10" spans="2:4" x14ac:dyDescent="0.3">
      <c r="B10" s="416" t="s">
        <v>27</v>
      </c>
      <c r="C10" s="416"/>
      <c r="D10" s="42">
        <f>'MH2'!Q13</f>
        <v>84630345.962964848</v>
      </c>
    </row>
    <row r="11" spans="2:4" x14ac:dyDescent="0.3">
      <c r="B11" s="416" t="s">
        <v>20</v>
      </c>
      <c r="C11" s="416"/>
      <c r="D11" s="42">
        <f>D10*10%</f>
        <v>8463034.5962964855</v>
      </c>
    </row>
    <row r="12" spans="2:4" x14ac:dyDescent="0.3">
      <c r="B12" s="417" t="s">
        <v>0</v>
      </c>
      <c r="C12" s="66" t="s">
        <v>23</v>
      </c>
      <c r="D12" s="67">
        <f>LEFT(RIGHT(C12,4),3)*D9</f>
        <v>44430931.630556546</v>
      </c>
    </row>
    <row r="13" spans="2:4" x14ac:dyDescent="0.3">
      <c r="B13" s="417"/>
      <c r="C13" s="68" t="str">
        <f>'MH2'!P16</f>
        <v>Presupuesto de la Institución  (50%)</v>
      </c>
      <c r="D13" s="67">
        <f>'MH2'!Q16</f>
        <v>44430931.630556546</v>
      </c>
    </row>
    <row r="14" spans="2:4" x14ac:dyDescent="0.3">
      <c r="B14" s="417"/>
      <c r="C14" s="70" t="s">
        <v>1</v>
      </c>
      <c r="D14" s="45">
        <f>D9-D12-D13</f>
        <v>0</v>
      </c>
    </row>
    <row r="16" spans="2:4" x14ac:dyDescent="0.3">
      <c r="C16" s="44" t="s">
        <v>148</v>
      </c>
      <c r="D16" s="45">
        <f>D3+D9</f>
        <v>89265593.761860088</v>
      </c>
    </row>
  </sheetData>
  <mergeCells count="9">
    <mergeCell ref="B10:C10"/>
    <mergeCell ref="B11:C11"/>
    <mergeCell ref="B12:B14"/>
    <mergeCell ref="B2:C2"/>
    <mergeCell ref="B3:C3"/>
    <mergeCell ref="B4:C4"/>
    <mergeCell ref="B5:C5"/>
    <mergeCell ref="B6:B8"/>
    <mergeCell ref="B9: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AP128"/>
  <sheetViews>
    <sheetView showGridLines="0" topLeftCell="A64" zoomScaleNormal="100" workbookViewId="0">
      <selection activeCell="D87" sqref="D87"/>
    </sheetView>
  </sheetViews>
  <sheetFormatPr defaultColWidth="11.42578125" defaultRowHeight="12.75" x14ac:dyDescent="0.2"/>
  <cols>
    <col min="1" max="1" width="4.42578125" style="1" customWidth="1"/>
    <col min="2" max="2" width="13.85546875" style="1" customWidth="1"/>
    <col min="3" max="3" width="22.5703125" style="92" customWidth="1"/>
    <col min="4" max="4" width="24.28515625" style="92" customWidth="1"/>
    <col min="5" max="5" width="41.42578125" style="92" customWidth="1"/>
    <col min="6" max="6" width="21.42578125" style="92" customWidth="1"/>
    <col min="7" max="7" width="21.85546875" style="92" customWidth="1"/>
    <col min="8" max="8" width="31" style="92" customWidth="1"/>
    <col min="9" max="9" width="18.42578125" style="92" customWidth="1"/>
    <col min="10" max="10" width="15.28515625" style="92" customWidth="1"/>
    <col min="11" max="11" width="6.7109375" style="92" bestFit="1" customWidth="1"/>
    <col min="12" max="12" width="8.42578125" style="92" customWidth="1"/>
    <col min="13" max="13" width="3.85546875" style="18" customWidth="1"/>
    <col min="14" max="14" width="5.42578125" style="92" customWidth="1"/>
    <col min="15" max="15" width="38.42578125" style="1" customWidth="1"/>
    <col min="16" max="16" width="15.28515625" style="1" customWidth="1"/>
    <col min="17" max="17" width="18.140625" style="92" customWidth="1"/>
    <col min="18" max="18" width="22.42578125" style="92" customWidth="1"/>
    <col min="19" max="19" width="19.85546875" style="92" customWidth="1"/>
    <col min="20" max="20" width="18.140625" style="92" bestFit="1" customWidth="1"/>
    <col min="21" max="21" width="16.140625" style="20" customWidth="1"/>
    <col min="22" max="22" width="13.140625" style="92" customWidth="1"/>
    <col min="23" max="23" width="12" style="92" customWidth="1"/>
    <col min="24" max="24" width="15.5703125" style="92" customWidth="1"/>
    <col min="25" max="25" width="12.7109375" style="20" customWidth="1"/>
    <col min="26" max="26" width="14.28515625" style="92" bestFit="1" customWidth="1"/>
    <col min="27" max="27" width="13.7109375" style="92" customWidth="1"/>
    <col min="28" max="28" width="5.5703125" style="92" customWidth="1"/>
    <col min="29" max="29" width="10.85546875" style="1" customWidth="1"/>
    <col min="30" max="30" width="15.7109375" style="92" customWidth="1"/>
    <col min="31" max="31" width="33.85546875" style="92" customWidth="1"/>
    <col min="32" max="32" width="5" style="92" customWidth="1"/>
    <col min="33" max="33" width="20.7109375" style="1" customWidth="1"/>
    <col min="34" max="34" width="52" style="92" customWidth="1"/>
    <col min="35" max="35" width="17" style="1" customWidth="1"/>
    <col min="36" max="36" width="6" style="1" customWidth="1"/>
    <col min="37" max="37" width="35.140625" style="1" customWidth="1"/>
    <col min="38" max="39" width="24.85546875" style="1" customWidth="1"/>
    <col min="40" max="41" width="24.85546875" style="92" customWidth="1"/>
    <col min="42" max="16384" width="11.42578125" style="92"/>
  </cols>
  <sheetData>
    <row r="1" spans="2:42" x14ac:dyDescent="0.2">
      <c r="N1" s="1"/>
      <c r="O1" s="92"/>
      <c r="P1" s="92"/>
      <c r="U1" s="92"/>
      <c r="Y1" s="92"/>
      <c r="AB1" s="20"/>
      <c r="AC1" s="92"/>
      <c r="AF1" s="20"/>
      <c r="AG1" s="92"/>
      <c r="AI1" s="92"/>
      <c r="AK1" s="92"/>
      <c r="AL1" s="92"/>
      <c r="AM1" s="92"/>
      <c r="AN1" s="1"/>
      <c r="AP1" s="1"/>
    </row>
    <row r="2" spans="2:42" s="1" customFormat="1" ht="15" customHeight="1" x14ac:dyDescent="0.3">
      <c r="B2" s="93" t="s">
        <v>362</v>
      </c>
      <c r="D2" s="93"/>
      <c r="E2" s="93"/>
      <c r="F2" s="93"/>
      <c r="G2" s="93"/>
      <c r="M2" s="18"/>
      <c r="AB2" s="20"/>
      <c r="AF2" s="20"/>
    </row>
    <row r="3" spans="2:42" s="1" customFormat="1" ht="15" customHeight="1" x14ac:dyDescent="0.3">
      <c r="B3" s="93"/>
      <c r="D3" s="93"/>
      <c r="E3" s="93"/>
      <c r="F3" s="93"/>
      <c r="G3" s="93"/>
      <c r="M3" s="18"/>
      <c r="AB3" s="20"/>
      <c r="AF3" s="20"/>
    </row>
    <row r="4" spans="2:42" s="1" customFormat="1" ht="15" customHeight="1" x14ac:dyDescent="0.3">
      <c r="B4" s="9" t="s">
        <v>29</v>
      </c>
      <c r="C4" s="9"/>
      <c r="D4" s="9"/>
      <c r="E4" s="9"/>
      <c r="F4" s="9"/>
      <c r="G4" s="9"/>
      <c r="H4" s="10"/>
      <c r="I4" s="10"/>
      <c r="J4" s="10"/>
      <c r="K4" s="10"/>
      <c r="L4" s="10"/>
      <c r="M4" s="18"/>
      <c r="O4" s="19" t="s">
        <v>86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F4" s="20"/>
    </row>
    <row r="5" spans="2:42" s="1" customFormat="1" ht="15" customHeight="1" x14ac:dyDescent="0.2">
      <c r="M5" s="18"/>
      <c r="AB5" s="20"/>
      <c r="AF5" s="20"/>
    </row>
    <row r="6" spans="2:42" s="1" customFormat="1" ht="15" customHeight="1" x14ac:dyDescent="0.2">
      <c r="B6" s="12" t="s">
        <v>208</v>
      </c>
      <c r="M6" s="18"/>
      <c r="O6" s="13" t="s">
        <v>209</v>
      </c>
      <c r="Q6" s="94"/>
      <c r="S6" s="95"/>
      <c r="T6" s="96"/>
      <c r="AB6" s="20"/>
      <c r="AF6" s="20"/>
      <c r="AJ6" s="20"/>
      <c r="AK6" s="20"/>
    </row>
    <row r="7" spans="2:42" s="1" customFormat="1" ht="12.75" customHeight="1" x14ac:dyDescent="0.2">
      <c r="D7" s="12"/>
      <c r="E7" s="12"/>
      <c r="F7" s="12"/>
      <c r="G7" s="12"/>
      <c r="M7" s="97"/>
      <c r="N7" s="98"/>
      <c r="O7" s="99" t="s">
        <v>30</v>
      </c>
      <c r="P7" s="359">
        <f>SUM(D22:D34)/1000</f>
        <v>72.883200000000002</v>
      </c>
      <c r="Q7" s="100" t="s">
        <v>31</v>
      </c>
      <c r="T7" s="98"/>
      <c r="V7" s="98"/>
      <c r="W7" s="98"/>
      <c r="X7" s="98"/>
      <c r="Y7" s="98"/>
      <c r="Z7" s="98"/>
      <c r="AA7" s="98"/>
      <c r="AB7" s="101"/>
      <c r="AF7" s="101"/>
      <c r="AJ7" s="101"/>
    </row>
    <row r="8" spans="2:42" s="1" customFormat="1" ht="53.25" customHeight="1" thickBot="1" x14ac:dyDescent="0.25">
      <c r="B8" s="383" t="s">
        <v>32</v>
      </c>
      <c r="C8" s="384"/>
      <c r="D8" s="383" t="s">
        <v>33</v>
      </c>
      <c r="E8" s="384"/>
      <c r="F8" s="357" t="s">
        <v>34</v>
      </c>
      <c r="G8" s="383" t="s">
        <v>35</v>
      </c>
      <c r="H8" s="384"/>
      <c r="I8" s="383" t="s">
        <v>36</v>
      </c>
      <c r="J8" s="399"/>
      <c r="K8" s="384"/>
      <c r="L8" s="98"/>
      <c r="M8" s="102"/>
      <c r="N8" s="98"/>
      <c r="O8" s="99" t="s">
        <v>37</v>
      </c>
      <c r="P8" s="358">
        <v>20</v>
      </c>
      <c r="Q8" s="100" t="s">
        <v>38</v>
      </c>
      <c r="R8" s="94"/>
      <c r="T8" s="98"/>
      <c r="V8" s="98"/>
      <c r="W8" s="98"/>
      <c r="X8" s="98"/>
      <c r="Y8" s="98"/>
      <c r="Z8" s="98"/>
      <c r="AA8" s="98"/>
      <c r="AB8" s="101"/>
      <c r="AF8" s="101"/>
      <c r="AJ8" s="103"/>
    </row>
    <row r="9" spans="2:42" s="1" customFormat="1" ht="39.75" customHeight="1" x14ac:dyDescent="0.2">
      <c r="B9" s="389" t="s">
        <v>82</v>
      </c>
      <c r="C9" s="390"/>
      <c r="D9" s="435" t="str">
        <f>"Se estima la instalación de kits de paneles solares en edificios del sector publico bajo los siguientes supuestos:
- Cada kit consta de un panel y sus accesorios y cuenta con una potencia de " &amp;E15 &amp;".
- Instalar al 2030:" &amp;D15 &amp;" paneles por entidad
- De acuerdo a índices de incidencia solar del Perú (&gt; 4.5 KWh/m2)
- Aportar con " &amp; ROUND(C34*E15/1000,2) &amp;" MW por entidad a la NDC E2. 
E2: Generación Distribuida con Paneles Solares al 2030: 74.58MW"</f>
        <v>Se estima la instalación de kits de paneles solares en edificios del sector publico bajo los siguientes supuestos:
- Cada kit consta de un panel y sus accesorios y cuenta con una potencia de 200.
- Instalar al 2030:18 paneles por entidad
- De acuerdo a índices de incidencia solar del Perú (&gt; 4.5 KWh/m2)
- Aportar con 3.6 MW por entidad a la NDC E2. 
E2: Generación Distribuida con Paneles Solares al 2030: 74.58MW</v>
      </c>
      <c r="E9" s="394"/>
      <c r="F9" s="397" t="str">
        <f>"Edificios públicos en los departamentos con índice de incidencia solar " &amp; C43 &amp;D43</f>
        <v>Edificios públicos en los departamentos con índice de incidencia solar &gt; 4.5KWh/m2</v>
      </c>
      <c r="G9" s="389" t="s">
        <v>185</v>
      </c>
      <c r="H9" s="390"/>
      <c r="I9" s="389" t="str">
        <f>"Instalar al 2030: "&amp; D15 &amp; " paneles por entidad.
Este número es referencial, la entidad podrá instalar el número de paneles que la Auditoría le recomiende."</f>
        <v>Instalar al 2030: 18 paneles por entidad.
Este número es referencial, la entidad podrá instalar el número de paneles que la Auditoría le recomiende.</v>
      </c>
      <c r="J9" s="401"/>
      <c r="K9" s="390"/>
      <c r="L9" s="106"/>
      <c r="M9" s="18"/>
      <c r="N9" s="98"/>
      <c r="O9" s="99" t="s">
        <v>368</v>
      </c>
      <c r="P9" s="104">
        <f>C49</f>
        <v>2092</v>
      </c>
      <c r="Q9" s="105" t="s">
        <v>39</v>
      </c>
      <c r="R9" s="94"/>
      <c r="T9" s="98"/>
      <c r="V9" s="98"/>
      <c r="W9" s="98"/>
      <c r="X9" s="98"/>
      <c r="Y9" s="98"/>
      <c r="Z9" s="98"/>
      <c r="AA9" s="98"/>
      <c r="AB9" s="101"/>
      <c r="AF9" s="101"/>
      <c r="AO9" s="109"/>
    </row>
    <row r="10" spans="2:42" s="1" customFormat="1" ht="63" customHeight="1" x14ac:dyDescent="0.2">
      <c r="B10" s="391"/>
      <c r="C10" s="392"/>
      <c r="D10" s="395"/>
      <c r="E10" s="396"/>
      <c r="F10" s="398"/>
      <c r="G10" s="391"/>
      <c r="H10" s="392"/>
      <c r="I10" s="391"/>
      <c r="J10" s="402"/>
      <c r="K10" s="392"/>
      <c r="L10" s="106"/>
      <c r="M10" s="18"/>
      <c r="N10" s="98"/>
      <c r="O10" s="107" t="s">
        <v>40</v>
      </c>
      <c r="P10" s="108">
        <f>C48*C47</f>
        <v>0.40360209999999996</v>
      </c>
      <c r="Q10" s="105" t="s">
        <v>78</v>
      </c>
      <c r="R10" s="94"/>
      <c r="T10" s="98"/>
      <c r="V10" s="98"/>
      <c r="W10" s="98"/>
      <c r="X10" s="98"/>
      <c r="Y10" s="98"/>
      <c r="Z10" s="98"/>
      <c r="AA10" s="98"/>
      <c r="AB10" s="101"/>
      <c r="AF10" s="89"/>
    </row>
    <row r="11" spans="2:42" s="1" customFormat="1" ht="21" customHeight="1" x14ac:dyDescent="0.2">
      <c r="M11" s="18"/>
      <c r="N11" s="98"/>
      <c r="O11" s="1" t="s">
        <v>375</v>
      </c>
      <c r="P11" s="366">
        <f>(55*2+56*2+57+58+60*5+70*2+64)/14/1000</f>
        <v>6.0071428571428567E-2</v>
      </c>
      <c r="Q11" s="1" t="s">
        <v>184</v>
      </c>
      <c r="R11" s="94"/>
      <c r="T11" s="98"/>
      <c r="V11" s="98"/>
      <c r="W11" s="98"/>
      <c r="X11" s="98"/>
      <c r="Y11" s="98"/>
      <c r="Z11" s="98"/>
      <c r="AA11" s="96"/>
      <c r="AB11" s="110"/>
      <c r="AF11" s="89"/>
    </row>
    <row r="12" spans="2:42" s="1" customFormat="1" x14ac:dyDescent="0.2">
      <c r="B12" s="13" t="s">
        <v>212</v>
      </c>
      <c r="D12" s="12"/>
      <c r="E12" s="12"/>
      <c r="F12" s="12"/>
      <c r="G12" s="12"/>
      <c r="M12" s="18"/>
      <c r="N12" s="106"/>
      <c r="W12" s="96"/>
      <c r="X12" s="96"/>
      <c r="Y12" s="96"/>
      <c r="Z12" s="96"/>
      <c r="AA12" s="96"/>
      <c r="AB12" s="110"/>
      <c r="AF12" s="89"/>
    </row>
    <row r="13" spans="2:42" s="1" customFormat="1" ht="39" customHeight="1" x14ac:dyDescent="0.2">
      <c r="B13" s="1" t="s">
        <v>75</v>
      </c>
      <c r="M13" s="18"/>
      <c r="N13" s="106"/>
      <c r="O13" s="94" t="s">
        <v>376</v>
      </c>
      <c r="W13" s="96"/>
      <c r="X13" s="96"/>
      <c r="Y13" s="96"/>
      <c r="Z13" s="96"/>
      <c r="AA13" s="110"/>
      <c r="AE13" s="20"/>
    </row>
    <row r="14" spans="2:42" s="1" customFormat="1" ht="39" thickBot="1" x14ac:dyDescent="0.25">
      <c r="B14" s="113" t="s">
        <v>42</v>
      </c>
      <c r="C14" s="111" t="s">
        <v>360</v>
      </c>
      <c r="D14" s="111" t="s">
        <v>361</v>
      </c>
      <c r="E14" s="112" t="s">
        <v>228</v>
      </c>
      <c r="F14" s="112" t="s">
        <v>229</v>
      </c>
      <c r="G14" s="29" t="s">
        <v>230</v>
      </c>
      <c r="H14" s="29" t="s">
        <v>231</v>
      </c>
      <c r="I14" s="29" t="s">
        <v>232</v>
      </c>
      <c r="M14" s="18"/>
      <c r="O14" s="99" t="s">
        <v>369</v>
      </c>
      <c r="Q14" s="96"/>
      <c r="R14" s="96"/>
      <c r="V14" s="96"/>
      <c r="W14" s="96"/>
      <c r="X14" s="96"/>
      <c r="Y14" s="96"/>
      <c r="Z14" s="96"/>
      <c r="AA14" s="110"/>
      <c r="AE14" s="20"/>
    </row>
    <row r="15" spans="2:42" s="1" customFormat="1" ht="30" customHeight="1" thickBot="1" x14ac:dyDescent="0.25">
      <c r="B15" s="116">
        <v>2018</v>
      </c>
      <c r="C15" s="117">
        <v>6</v>
      </c>
      <c r="D15" s="117">
        <v>18</v>
      </c>
      <c r="E15" s="118">
        <v>200</v>
      </c>
      <c r="F15" s="118">
        <v>8</v>
      </c>
      <c r="G15" s="119">
        <v>365</v>
      </c>
      <c r="H15" s="120">
        <v>0.8</v>
      </c>
      <c r="I15" s="121">
        <f>C15*E15*F15*G15*H15/1000</f>
        <v>2803.2</v>
      </c>
      <c r="M15" s="18"/>
      <c r="O15" s="113" t="s">
        <v>41</v>
      </c>
      <c r="P15" s="28" t="s">
        <v>233</v>
      </c>
      <c r="Q15" s="114" t="s">
        <v>234</v>
      </c>
      <c r="R15" s="114" t="s">
        <v>235</v>
      </c>
      <c r="S15" s="88"/>
      <c r="T15" s="88"/>
      <c r="U15" s="115"/>
      <c r="V15" s="96"/>
      <c r="W15" s="96"/>
      <c r="X15" s="96"/>
      <c r="Y15" s="96"/>
      <c r="Z15" s="96"/>
      <c r="AA15" s="110"/>
      <c r="AE15" s="20"/>
    </row>
    <row r="16" spans="2:42" s="1" customFormat="1" x14ac:dyDescent="0.2">
      <c r="B16" s="1" t="s">
        <v>236</v>
      </c>
      <c r="M16" s="18"/>
      <c r="O16" s="122" t="s">
        <v>43</v>
      </c>
      <c r="P16" s="123">
        <f>E15</f>
        <v>200</v>
      </c>
      <c r="Q16" s="124">
        <v>1000</v>
      </c>
      <c r="R16" s="124">
        <f>Q16/P16*1000</f>
        <v>5000</v>
      </c>
      <c r="S16" s="88"/>
      <c r="T16" s="88"/>
      <c r="U16" s="115"/>
      <c r="V16" s="96"/>
      <c r="W16" s="96"/>
      <c r="X16" s="96"/>
      <c r="Y16" s="96"/>
      <c r="Z16" s="96"/>
      <c r="AA16" s="110"/>
      <c r="AE16" s="20"/>
    </row>
    <row r="17" spans="2:33" s="1" customFormat="1" x14ac:dyDescent="0.2">
      <c r="M17" s="126"/>
      <c r="O17" s="1" t="s">
        <v>237</v>
      </c>
      <c r="P17" s="104"/>
      <c r="Q17" s="94"/>
      <c r="S17" s="125"/>
      <c r="T17" s="88"/>
      <c r="U17" s="115"/>
      <c r="V17" s="96"/>
      <c r="W17" s="96"/>
      <c r="X17" s="96"/>
      <c r="Y17" s="96"/>
      <c r="Z17" s="96"/>
      <c r="AA17" s="110"/>
      <c r="AE17" s="20"/>
    </row>
    <row r="18" spans="2:33" s="1" customFormat="1" x14ac:dyDescent="0.2">
      <c r="B18" s="99"/>
      <c r="C18" s="20"/>
      <c r="D18" s="96"/>
      <c r="E18" s="96"/>
      <c r="M18" s="126"/>
      <c r="O18" s="104"/>
      <c r="P18" s="94"/>
      <c r="R18" s="125"/>
      <c r="S18" s="88"/>
      <c r="T18" s="115"/>
      <c r="U18" s="115"/>
      <c r="V18" s="96"/>
      <c r="W18" s="96"/>
      <c r="X18" s="96"/>
      <c r="Y18" s="96"/>
      <c r="Z18" s="96"/>
      <c r="AA18" s="110"/>
      <c r="AE18" s="20"/>
    </row>
    <row r="19" spans="2:33" s="1" customFormat="1" x14ac:dyDescent="0.2">
      <c r="B19" s="127" t="s">
        <v>65</v>
      </c>
      <c r="M19" s="18"/>
      <c r="O19" s="104"/>
      <c r="P19" s="94"/>
      <c r="R19" s="125"/>
      <c r="S19" s="88"/>
      <c r="T19" s="115"/>
      <c r="U19" s="115"/>
      <c r="V19" s="96"/>
      <c r="W19" s="96"/>
      <c r="X19" s="96"/>
      <c r="Y19" s="96"/>
      <c r="Z19" s="96"/>
      <c r="AA19" s="96"/>
      <c r="AB19" s="110"/>
      <c r="AE19" s="20"/>
    </row>
    <row r="20" spans="2:33" s="1" customFormat="1" ht="12.75" customHeight="1" x14ac:dyDescent="0.2">
      <c r="M20" s="18"/>
      <c r="O20" s="104"/>
      <c r="P20" s="94"/>
      <c r="R20" s="1">
        <f>Q26*R16</f>
        <v>30000</v>
      </c>
      <c r="S20" s="125"/>
      <c r="T20" s="88"/>
      <c r="U20" s="115"/>
      <c r="V20" s="115"/>
      <c r="W20" s="96"/>
      <c r="X20" s="96"/>
      <c r="Y20" s="96"/>
      <c r="Z20" s="96"/>
      <c r="AB20" s="20"/>
      <c r="AF20" s="20"/>
    </row>
    <row r="21" spans="2:33" s="1" customFormat="1" ht="29.25" thickBot="1" x14ac:dyDescent="0.25">
      <c r="B21" s="113" t="s">
        <v>46</v>
      </c>
      <c r="C21" s="28" t="s">
        <v>239</v>
      </c>
      <c r="D21" s="28" t="s">
        <v>232</v>
      </c>
      <c r="E21" s="28" t="s">
        <v>240</v>
      </c>
      <c r="F21" s="28" t="s">
        <v>241</v>
      </c>
      <c r="M21" s="18"/>
      <c r="O21" s="15" t="s">
        <v>370</v>
      </c>
      <c r="AB21" s="20"/>
      <c r="AF21" s="20"/>
    </row>
    <row r="22" spans="2:33" s="1" customFormat="1" ht="26.25" customHeight="1" x14ac:dyDescent="0.2">
      <c r="B22" s="131">
        <v>2018</v>
      </c>
      <c r="C22" s="132">
        <f>C15</f>
        <v>6</v>
      </c>
      <c r="D22" s="133">
        <f t="shared" ref="D22:D34" si="0">C22*$E$15*($F$15*$G$15*$H$15)/1000</f>
        <v>2803.2</v>
      </c>
      <c r="E22" s="134">
        <f t="shared" ref="E22:E34" si="1">D22*Mwh_TJ/1000</f>
        <v>778.66666728960001</v>
      </c>
      <c r="F22" s="135">
        <f t="shared" ref="F22:F34" si="2">D22*$C$42/1000</f>
        <v>1.2356505600000001</v>
      </c>
      <c r="M22" s="18"/>
      <c r="N22" s="128"/>
      <c r="O22" s="127" t="s">
        <v>44</v>
      </c>
      <c r="T22" s="129" t="s">
        <v>45</v>
      </c>
      <c r="U22" s="129"/>
      <c r="V22" s="130"/>
      <c r="W22" s="130"/>
      <c r="AB22" s="20"/>
      <c r="AF22" s="20"/>
    </row>
    <row r="23" spans="2:33" s="1" customFormat="1" ht="15" customHeight="1" x14ac:dyDescent="0.2">
      <c r="B23" s="136">
        <v>2019</v>
      </c>
      <c r="C23" s="137">
        <f>C22+($C$34-$C$22)/12</f>
        <v>7</v>
      </c>
      <c r="D23" s="138">
        <f t="shared" si="0"/>
        <v>3270.4</v>
      </c>
      <c r="E23" s="139">
        <f t="shared" si="1"/>
        <v>908.44444517120007</v>
      </c>
      <c r="F23" s="140">
        <f t="shared" si="2"/>
        <v>1.4415923200000003</v>
      </c>
      <c r="M23" s="18"/>
      <c r="O23" s="405" t="s">
        <v>46</v>
      </c>
      <c r="P23" s="438" t="s">
        <v>245</v>
      </c>
      <c r="Q23" s="442" t="s">
        <v>367</v>
      </c>
      <c r="R23" s="438" t="s">
        <v>242</v>
      </c>
      <c r="T23" s="438" t="s">
        <v>243</v>
      </c>
      <c r="U23" s="438" t="s">
        <v>244</v>
      </c>
      <c r="V23" s="438" t="s">
        <v>242</v>
      </c>
      <c r="W23" s="440"/>
      <c r="AB23" s="92"/>
    </row>
    <row r="24" spans="2:33" s="1" customFormat="1" ht="13.5" thickBot="1" x14ac:dyDescent="0.25">
      <c r="B24" s="136">
        <v>2020</v>
      </c>
      <c r="C24" s="137">
        <f t="shared" ref="C24:C32" si="3">C23+($C$34-$C$22)/12</f>
        <v>8</v>
      </c>
      <c r="D24" s="138">
        <f t="shared" si="0"/>
        <v>3737.6</v>
      </c>
      <c r="E24" s="139">
        <f t="shared" si="1"/>
        <v>1038.2222230528</v>
      </c>
      <c r="F24" s="140">
        <f t="shared" si="2"/>
        <v>1.6475340800000002</v>
      </c>
      <c r="M24" s="18"/>
      <c r="O24" s="434"/>
      <c r="P24" s="439"/>
      <c r="Q24" s="443"/>
      <c r="R24" s="439"/>
      <c r="T24" s="439"/>
      <c r="U24" s="439"/>
      <c r="V24" s="439"/>
      <c r="W24" s="441"/>
      <c r="AB24" s="92"/>
    </row>
    <row r="25" spans="2:33" s="1" customFormat="1" x14ac:dyDescent="0.2">
      <c r="B25" s="136">
        <v>2021</v>
      </c>
      <c r="C25" s="137">
        <f t="shared" si="3"/>
        <v>9</v>
      </c>
      <c r="D25" s="138">
        <f t="shared" si="0"/>
        <v>4204.8</v>
      </c>
      <c r="E25" s="139">
        <f t="shared" si="1"/>
        <v>1168.0000009344001</v>
      </c>
      <c r="F25" s="140">
        <f t="shared" si="2"/>
        <v>1.8534758400000002</v>
      </c>
      <c r="M25" s="18"/>
      <c r="O25" s="142">
        <v>2017</v>
      </c>
      <c r="P25" s="143"/>
      <c r="Q25" s="143"/>
      <c r="R25" s="144"/>
      <c r="T25" s="90"/>
      <c r="V25" s="35"/>
      <c r="W25" s="145"/>
      <c r="AB25" s="92"/>
    </row>
    <row r="26" spans="2:33" s="1" customFormat="1" x14ac:dyDescent="0.2">
      <c r="B26" s="136">
        <v>2022</v>
      </c>
      <c r="C26" s="137">
        <f t="shared" si="3"/>
        <v>10</v>
      </c>
      <c r="D26" s="138">
        <f t="shared" si="0"/>
        <v>4672</v>
      </c>
      <c r="E26" s="139">
        <f t="shared" si="1"/>
        <v>1297.7777788160001</v>
      </c>
      <c r="F26" s="140">
        <f t="shared" si="2"/>
        <v>2.0594176000000002</v>
      </c>
      <c r="M26" s="18"/>
      <c r="O26" s="146">
        <v>2018</v>
      </c>
      <c r="P26" s="147">
        <f t="shared" ref="P26:P38" si="4">D22</f>
        <v>2803.2</v>
      </c>
      <c r="Q26" s="148">
        <f t="shared" ref="Q26:Q38" si="5">C22</f>
        <v>6</v>
      </c>
      <c r="R26" s="149">
        <f>Q26*$P$9/1000</f>
        <v>12.552</v>
      </c>
      <c r="S26" s="150"/>
      <c r="T26" s="67">
        <f>P10</f>
        <v>0.40360209999999996</v>
      </c>
      <c r="U26" s="151">
        <f t="shared" ref="U26:U38" si="6">P26*$P$11*$C$47</f>
        <v>546.76956617142844</v>
      </c>
      <c r="V26" s="152">
        <f>(T26*P26+U26)/1000</f>
        <v>1.678146972891428</v>
      </c>
      <c r="W26" s="153"/>
      <c r="AB26" s="154"/>
      <c r="AG26" s="20"/>
    </row>
    <row r="27" spans="2:33" s="1" customFormat="1" x14ac:dyDescent="0.2">
      <c r="B27" s="136">
        <v>2023</v>
      </c>
      <c r="C27" s="137">
        <f t="shared" si="3"/>
        <v>11</v>
      </c>
      <c r="D27" s="138">
        <f t="shared" si="0"/>
        <v>5139.2</v>
      </c>
      <c r="E27" s="139">
        <f t="shared" si="1"/>
        <v>1427.5555566976</v>
      </c>
      <c r="F27" s="140">
        <f t="shared" si="2"/>
        <v>2.2653593599999997</v>
      </c>
      <c r="M27" s="18"/>
      <c r="O27" s="146">
        <v>2019</v>
      </c>
      <c r="P27" s="147">
        <f t="shared" si="4"/>
        <v>3270.4</v>
      </c>
      <c r="Q27" s="148">
        <f t="shared" si="5"/>
        <v>7</v>
      </c>
      <c r="R27" s="149">
        <f t="shared" ref="R27:R38" si="7">Q27*$P$9/1000</f>
        <v>14.644</v>
      </c>
      <c r="T27" s="67">
        <f t="shared" ref="T27:T38" si="8">T26*(1+$C$45)</f>
        <v>0.41571016299999997</v>
      </c>
      <c r="U27" s="151">
        <f t="shared" si="6"/>
        <v>637.89782719999994</v>
      </c>
      <c r="V27" s="152">
        <f t="shared" ref="V27:V38" si="9">(T27*P27+U27)/1000</f>
        <v>1.9974363442751999</v>
      </c>
      <c r="W27" s="153"/>
      <c r="AB27" s="154"/>
      <c r="AG27" s="20"/>
    </row>
    <row r="28" spans="2:33" s="1" customFormat="1" x14ac:dyDescent="0.2">
      <c r="B28" s="136">
        <v>2024</v>
      </c>
      <c r="C28" s="137">
        <f t="shared" si="3"/>
        <v>12</v>
      </c>
      <c r="D28" s="138">
        <f t="shared" si="0"/>
        <v>5606.4</v>
      </c>
      <c r="E28" s="139">
        <f t="shared" si="1"/>
        <v>1557.3333345792</v>
      </c>
      <c r="F28" s="140">
        <f t="shared" si="2"/>
        <v>2.4713011200000001</v>
      </c>
      <c r="M28" s="18"/>
      <c r="O28" s="146">
        <v>2020</v>
      </c>
      <c r="P28" s="147">
        <f t="shared" si="4"/>
        <v>3737.6</v>
      </c>
      <c r="Q28" s="148">
        <f t="shared" si="5"/>
        <v>8</v>
      </c>
      <c r="R28" s="149">
        <f t="shared" si="7"/>
        <v>16.736000000000001</v>
      </c>
      <c r="T28" s="67">
        <f t="shared" si="8"/>
        <v>0.42818146789</v>
      </c>
      <c r="U28" s="151">
        <f t="shared" si="6"/>
        <v>729.02608822857133</v>
      </c>
      <c r="V28" s="152">
        <f t="shared" si="9"/>
        <v>2.3293971426142352</v>
      </c>
      <c r="W28" s="153"/>
      <c r="AB28" s="154"/>
      <c r="AG28" s="20"/>
    </row>
    <row r="29" spans="2:33" s="1" customFormat="1" x14ac:dyDescent="0.2">
      <c r="B29" s="136">
        <v>2025</v>
      </c>
      <c r="C29" s="137">
        <f t="shared" si="3"/>
        <v>13</v>
      </c>
      <c r="D29" s="138">
        <f t="shared" si="0"/>
        <v>6073.6</v>
      </c>
      <c r="E29" s="139">
        <f t="shared" si="1"/>
        <v>1687.1111124608003</v>
      </c>
      <c r="F29" s="140">
        <f t="shared" si="2"/>
        <v>2.6772428800000001</v>
      </c>
      <c r="M29" s="18"/>
      <c r="O29" s="146">
        <v>2021</v>
      </c>
      <c r="P29" s="147">
        <f t="shared" si="4"/>
        <v>4204.8</v>
      </c>
      <c r="Q29" s="148">
        <f t="shared" si="5"/>
        <v>9</v>
      </c>
      <c r="R29" s="149">
        <f t="shared" si="7"/>
        <v>18.827999999999999</v>
      </c>
      <c r="T29" s="67">
        <f t="shared" si="8"/>
        <v>0.44102691192670002</v>
      </c>
      <c r="U29" s="151">
        <f t="shared" si="6"/>
        <v>820.15434925714283</v>
      </c>
      <c r="V29" s="152">
        <f t="shared" si="9"/>
        <v>2.6745843085265308</v>
      </c>
      <c r="W29" s="153"/>
      <c r="AB29" s="150"/>
      <c r="AG29" s="20"/>
    </row>
    <row r="30" spans="2:33" s="1" customFormat="1" x14ac:dyDescent="0.2">
      <c r="B30" s="136">
        <v>2026</v>
      </c>
      <c r="C30" s="137">
        <f t="shared" si="3"/>
        <v>14</v>
      </c>
      <c r="D30" s="138">
        <f t="shared" si="0"/>
        <v>6540.8</v>
      </c>
      <c r="E30" s="139">
        <f t="shared" si="1"/>
        <v>1816.8888903424001</v>
      </c>
      <c r="F30" s="140">
        <f t="shared" si="2"/>
        <v>2.8831846400000005</v>
      </c>
      <c r="M30" s="18"/>
      <c r="O30" s="146">
        <v>2022</v>
      </c>
      <c r="P30" s="147">
        <f t="shared" si="4"/>
        <v>4672</v>
      </c>
      <c r="Q30" s="148">
        <f t="shared" si="5"/>
        <v>10</v>
      </c>
      <c r="R30" s="149">
        <f t="shared" si="7"/>
        <v>20.92</v>
      </c>
      <c r="T30" s="67">
        <f t="shared" si="8"/>
        <v>0.45425771928450104</v>
      </c>
      <c r="U30" s="151">
        <f t="shared" si="6"/>
        <v>911.28261028571421</v>
      </c>
      <c r="V30" s="152">
        <f t="shared" si="9"/>
        <v>3.0335746747829031</v>
      </c>
      <c r="W30" s="153"/>
      <c r="AG30" s="20"/>
    </row>
    <row r="31" spans="2:33" s="1" customFormat="1" x14ac:dyDescent="0.2">
      <c r="B31" s="136">
        <v>2027</v>
      </c>
      <c r="C31" s="137">
        <f t="shared" si="3"/>
        <v>15</v>
      </c>
      <c r="D31" s="138">
        <f t="shared" si="0"/>
        <v>7008</v>
      </c>
      <c r="E31" s="139">
        <f t="shared" si="1"/>
        <v>1946.6666682240002</v>
      </c>
      <c r="F31" s="140">
        <f t="shared" si="2"/>
        <v>3.0891264000000001</v>
      </c>
      <c r="M31" s="18"/>
      <c r="O31" s="146">
        <v>2023</v>
      </c>
      <c r="P31" s="147">
        <f t="shared" si="4"/>
        <v>5139.2</v>
      </c>
      <c r="Q31" s="148">
        <f t="shared" si="5"/>
        <v>11</v>
      </c>
      <c r="R31" s="149">
        <f t="shared" si="7"/>
        <v>23.012</v>
      </c>
      <c r="T31" s="67">
        <f t="shared" si="8"/>
        <v>0.46788545086303607</v>
      </c>
      <c r="U31" s="151">
        <f t="shared" si="6"/>
        <v>1002.4108713142855</v>
      </c>
      <c r="V31" s="152">
        <f t="shared" si="9"/>
        <v>3.4069677803896004</v>
      </c>
      <c r="W31" s="153"/>
      <c r="AG31" s="20"/>
    </row>
    <row r="32" spans="2:33" s="1" customFormat="1" x14ac:dyDescent="0.2">
      <c r="B32" s="136">
        <v>2028</v>
      </c>
      <c r="C32" s="137">
        <f t="shared" si="3"/>
        <v>16</v>
      </c>
      <c r="D32" s="138">
        <f t="shared" si="0"/>
        <v>7475.2</v>
      </c>
      <c r="E32" s="139">
        <f t="shared" si="1"/>
        <v>2076.4444461056</v>
      </c>
      <c r="F32" s="140">
        <f t="shared" si="2"/>
        <v>3.2950681600000005</v>
      </c>
      <c r="M32" s="18"/>
      <c r="O32" s="146">
        <v>2024</v>
      </c>
      <c r="P32" s="147">
        <f t="shared" si="4"/>
        <v>5606.4</v>
      </c>
      <c r="Q32" s="148">
        <f t="shared" si="5"/>
        <v>12</v>
      </c>
      <c r="R32" s="149">
        <f t="shared" si="7"/>
        <v>25.103999999999999</v>
      </c>
      <c r="T32" s="67">
        <f t="shared" si="8"/>
        <v>0.48192201438892718</v>
      </c>
      <c r="U32" s="151">
        <f t="shared" si="6"/>
        <v>1093.5391323428569</v>
      </c>
      <c r="V32" s="152">
        <f t="shared" si="9"/>
        <v>3.7953867138129382</v>
      </c>
      <c r="W32" s="153"/>
      <c r="AG32" s="20"/>
    </row>
    <row r="33" spans="2:34" s="1" customFormat="1" x14ac:dyDescent="0.2">
      <c r="B33" s="136">
        <v>2029</v>
      </c>
      <c r="C33" s="137">
        <f>C32+($C$34-$C$22)/12</f>
        <v>17</v>
      </c>
      <c r="D33" s="138">
        <f t="shared" si="0"/>
        <v>7942.4</v>
      </c>
      <c r="E33" s="139">
        <f t="shared" si="1"/>
        <v>2206.2222239871999</v>
      </c>
      <c r="F33" s="140">
        <f t="shared" si="2"/>
        <v>3.50100992</v>
      </c>
      <c r="M33" s="18"/>
      <c r="O33" s="146">
        <v>2025</v>
      </c>
      <c r="P33" s="147">
        <f t="shared" si="4"/>
        <v>6073.6</v>
      </c>
      <c r="Q33" s="148">
        <f t="shared" si="5"/>
        <v>13</v>
      </c>
      <c r="R33" s="149">
        <f t="shared" si="7"/>
        <v>27.196000000000002</v>
      </c>
      <c r="T33" s="67">
        <f t="shared" si="8"/>
        <v>0.49637967482059503</v>
      </c>
      <c r="U33" s="151">
        <f t="shared" si="6"/>
        <v>1184.6673933714285</v>
      </c>
      <c r="V33" s="152">
        <f t="shared" si="9"/>
        <v>4.1994789863617941</v>
      </c>
      <c r="W33" s="153"/>
      <c r="AG33" s="20"/>
    </row>
    <row r="34" spans="2:34" s="1" customFormat="1" x14ac:dyDescent="0.2">
      <c r="B34" s="136">
        <v>2030</v>
      </c>
      <c r="C34" s="137">
        <f>D15</f>
        <v>18</v>
      </c>
      <c r="D34" s="138">
        <f t="shared" si="0"/>
        <v>8409.6</v>
      </c>
      <c r="E34" s="139">
        <f t="shared" si="1"/>
        <v>2336.0000018688002</v>
      </c>
      <c r="F34" s="140">
        <f t="shared" si="2"/>
        <v>3.7069516800000004</v>
      </c>
      <c r="M34" s="18"/>
      <c r="O34" s="146">
        <v>2026</v>
      </c>
      <c r="P34" s="147">
        <f t="shared" si="4"/>
        <v>6540.8</v>
      </c>
      <c r="Q34" s="148">
        <f t="shared" si="5"/>
        <v>14</v>
      </c>
      <c r="R34" s="149">
        <f t="shared" si="7"/>
        <v>29.288</v>
      </c>
      <c r="T34" s="67">
        <f t="shared" si="8"/>
        <v>0.51127106506521292</v>
      </c>
      <c r="U34" s="151">
        <f t="shared" si="6"/>
        <v>1275.7956543999999</v>
      </c>
      <c r="V34" s="152">
        <f t="shared" si="9"/>
        <v>4.6199174367785441</v>
      </c>
      <c r="W34" s="153"/>
      <c r="AG34" s="20"/>
    </row>
    <row r="35" spans="2:34" s="1" customFormat="1" x14ac:dyDescent="0.2">
      <c r="M35" s="18"/>
      <c r="O35" s="146">
        <v>2027</v>
      </c>
      <c r="P35" s="147">
        <f t="shared" si="4"/>
        <v>7008</v>
      </c>
      <c r="Q35" s="148">
        <f t="shared" si="5"/>
        <v>15</v>
      </c>
      <c r="R35" s="149">
        <f t="shared" si="7"/>
        <v>31.38</v>
      </c>
      <c r="T35" s="67">
        <f t="shared" si="8"/>
        <v>0.52660919701716935</v>
      </c>
      <c r="U35" s="151">
        <f t="shared" si="6"/>
        <v>1366.9239154285713</v>
      </c>
      <c r="V35" s="152">
        <f t="shared" si="9"/>
        <v>5.057401168124894</v>
      </c>
      <c r="W35" s="153"/>
      <c r="AG35" s="20"/>
    </row>
    <row r="36" spans="2:34" s="1" customFormat="1" ht="15.75" x14ac:dyDescent="0.2">
      <c r="B36" s="145"/>
      <c r="C36" s="155"/>
      <c r="D36" s="145"/>
      <c r="E36" s="145"/>
      <c r="F36" s="145"/>
      <c r="G36" s="145"/>
      <c r="H36" s="145"/>
      <c r="I36" s="145"/>
      <c r="J36" s="145"/>
      <c r="K36" s="145"/>
      <c r="M36" s="18"/>
      <c r="O36" s="146">
        <v>2028</v>
      </c>
      <c r="P36" s="147">
        <f t="shared" si="4"/>
        <v>7475.2</v>
      </c>
      <c r="Q36" s="148">
        <f t="shared" si="5"/>
        <v>16</v>
      </c>
      <c r="R36" s="149">
        <f t="shared" si="7"/>
        <v>33.472000000000001</v>
      </c>
      <c r="T36" s="67">
        <f t="shared" si="8"/>
        <v>0.54240747292768443</v>
      </c>
      <c r="U36" s="151">
        <f t="shared" si="6"/>
        <v>1458.0521764571427</v>
      </c>
      <c r="V36" s="152">
        <f t="shared" si="9"/>
        <v>5.5126565180861693</v>
      </c>
      <c r="W36" s="153"/>
      <c r="AG36" s="20"/>
    </row>
    <row r="37" spans="2:34" s="1" customFormat="1" ht="15.75" x14ac:dyDescent="0.2">
      <c r="B37" s="145"/>
      <c r="C37" s="156"/>
      <c r="D37" s="157"/>
      <c r="E37" s="145"/>
      <c r="F37" s="145"/>
      <c r="G37" s="145"/>
      <c r="H37" s="145"/>
      <c r="I37" s="145"/>
      <c r="J37" s="145"/>
      <c r="K37" s="145"/>
      <c r="M37" s="18"/>
      <c r="O37" s="146">
        <v>2029</v>
      </c>
      <c r="P37" s="147">
        <f t="shared" si="4"/>
        <v>7942.4</v>
      </c>
      <c r="Q37" s="148">
        <f t="shared" si="5"/>
        <v>17</v>
      </c>
      <c r="R37" s="149">
        <f t="shared" si="7"/>
        <v>35.564</v>
      </c>
      <c r="T37" s="67">
        <f t="shared" si="8"/>
        <v>0.55867969711551502</v>
      </c>
      <c r="U37" s="151">
        <f t="shared" si="6"/>
        <v>1549.180437485714</v>
      </c>
      <c r="V37" s="152">
        <f t="shared" si="9"/>
        <v>5.9864380638559798</v>
      </c>
      <c r="W37" s="153"/>
      <c r="AG37" s="20"/>
    </row>
    <row r="38" spans="2:34" s="1" customFormat="1" ht="15.75" customHeight="1" x14ac:dyDescent="0.2">
      <c r="B38" s="158"/>
      <c r="M38" s="18"/>
      <c r="O38" s="146">
        <v>2030</v>
      </c>
      <c r="P38" s="147">
        <f t="shared" si="4"/>
        <v>8409.6</v>
      </c>
      <c r="Q38" s="148">
        <f t="shared" si="5"/>
        <v>18</v>
      </c>
      <c r="R38" s="149">
        <f t="shared" si="7"/>
        <v>37.655999999999999</v>
      </c>
      <c r="T38" s="67">
        <f t="shared" si="8"/>
        <v>0.5754400880289805</v>
      </c>
      <c r="U38" s="151">
        <f t="shared" si="6"/>
        <v>1640.3086985142857</v>
      </c>
      <c r="V38" s="152">
        <f t="shared" si="9"/>
        <v>6.4795296628027996</v>
      </c>
      <c r="W38" s="153"/>
      <c r="AG38" s="20"/>
    </row>
    <row r="39" spans="2:34" s="1" customFormat="1" x14ac:dyDescent="0.2">
      <c r="B39" s="12" t="s">
        <v>215</v>
      </c>
      <c r="M39" s="18"/>
      <c r="P39" s="159"/>
      <c r="Q39" s="159"/>
      <c r="R39" s="159"/>
      <c r="AG39" s="20"/>
    </row>
    <row r="40" spans="2:34" s="1" customFormat="1" ht="13.5" thickBot="1" x14ac:dyDescent="0.25">
      <c r="B40" s="46" t="s">
        <v>9</v>
      </c>
      <c r="C40" s="48" t="s">
        <v>10</v>
      </c>
      <c r="D40" s="48" t="s">
        <v>11</v>
      </c>
      <c r="E40" s="48" t="s">
        <v>12</v>
      </c>
      <c r="M40" s="18"/>
      <c r="R40" s="160"/>
      <c r="S40" s="160"/>
      <c r="T40" s="160"/>
      <c r="U40" s="160"/>
      <c r="V40" s="160"/>
      <c r="AG40" s="20"/>
    </row>
    <row r="41" spans="2:34" s="1" customFormat="1" ht="38.25" x14ac:dyDescent="0.2">
      <c r="B41" s="161" t="s">
        <v>13</v>
      </c>
      <c r="C41" s="162">
        <v>0.01</v>
      </c>
      <c r="D41" s="163" t="s">
        <v>14</v>
      </c>
      <c r="E41" s="53" t="s">
        <v>15</v>
      </c>
      <c r="M41" s="18"/>
      <c r="AG41" s="20"/>
    </row>
    <row r="42" spans="2:34" s="1" customFormat="1" ht="25.5" x14ac:dyDescent="0.2">
      <c r="B42" s="55" t="s">
        <v>16</v>
      </c>
      <c r="C42" s="164">
        <v>0.44080000000000003</v>
      </c>
      <c r="D42" s="57" t="s">
        <v>17</v>
      </c>
      <c r="E42" s="58" t="s">
        <v>182</v>
      </c>
      <c r="M42" s="18"/>
      <c r="AG42" s="20"/>
      <c r="AH42" s="20"/>
    </row>
    <row r="43" spans="2:34" s="1" customFormat="1" ht="15" x14ac:dyDescent="0.2">
      <c r="B43" s="55" t="s">
        <v>55</v>
      </c>
      <c r="C43" s="166" t="s">
        <v>366</v>
      </c>
      <c r="D43" s="57" t="s">
        <v>246</v>
      </c>
      <c r="E43" s="34"/>
      <c r="M43" s="18"/>
      <c r="W43" s="165"/>
    </row>
    <row r="44" spans="2:34" s="1" customFormat="1" ht="41.25" thickBot="1" x14ac:dyDescent="0.25">
      <c r="B44" s="55" t="s">
        <v>81</v>
      </c>
      <c r="C44" s="167" t="s">
        <v>247</v>
      </c>
      <c r="D44" s="168"/>
      <c r="E44" s="58" t="s">
        <v>56</v>
      </c>
      <c r="M44" s="18"/>
      <c r="AG44" s="20"/>
    </row>
    <row r="45" spans="2:34" s="1" customFormat="1" ht="49.5" customHeight="1" thickBot="1" x14ac:dyDescent="0.25">
      <c r="B45" s="63" t="s">
        <v>57</v>
      </c>
      <c r="C45" s="170">
        <v>0.03</v>
      </c>
      <c r="D45" s="65" t="s">
        <v>14</v>
      </c>
      <c r="E45" s="169" t="s">
        <v>84</v>
      </c>
      <c r="M45" s="18"/>
      <c r="O45" s="12" t="s">
        <v>248</v>
      </c>
      <c r="V45" s="160"/>
      <c r="AG45" s="20"/>
    </row>
    <row r="46" spans="2:34" s="1" customFormat="1" ht="26.25" thickBot="1" x14ac:dyDescent="0.25">
      <c r="B46" s="63" t="s">
        <v>47</v>
      </c>
      <c r="C46" s="170">
        <v>0.04</v>
      </c>
      <c r="D46" s="65" t="s">
        <v>14</v>
      </c>
      <c r="E46" s="169" t="s">
        <v>58</v>
      </c>
      <c r="M46" s="18"/>
      <c r="AG46" s="20"/>
    </row>
    <row r="47" spans="2:34" s="1" customFormat="1" ht="15" customHeight="1" thickBot="1" x14ac:dyDescent="0.25">
      <c r="B47" s="63" t="s">
        <v>59</v>
      </c>
      <c r="C47" s="173">
        <v>3.2469999999999999</v>
      </c>
      <c r="D47" s="65" t="s">
        <v>60</v>
      </c>
      <c r="E47" s="169" t="s">
        <v>61</v>
      </c>
      <c r="M47" s="18"/>
      <c r="O47" s="22" t="s">
        <v>48</v>
      </c>
      <c r="P47" s="436" t="s">
        <v>49</v>
      </c>
      <c r="Q47" s="437"/>
      <c r="R47" s="22" t="s">
        <v>50</v>
      </c>
      <c r="S47" s="171" t="s">
        <v>51</v>
      </c>
      <c r="T47" s="172"/>
      <c r="U47" s="145"/>
      <c r="AG47" s="20"/>
    </row>
    <row r="48" spans="2:34" s="1" customFormat="1" ht="77.25" thickBot="1" x14ac:dyDescent="0.25">
      <c r="B48" s="63" t="s">
        <v>62</v>
      </c>
      <c r="C48" s="175">
        <f>12.43/100</f>
        <v>0.12429999999999999</v>
      </c>
      <c r="D48" s="65" t="s">
        <v>85</v>
      </c>
      <c r="E48" s="169" t="s">
        <v>183</v>
      </c>
      <c r="M48" s="18"/>
      <c r="O48" s="425" t="s">
        <v>83</v>
      </c>
      <c r="P48" s="428" t="s">
        <v>52</v>
      </c>
      <c r="Q48" s="429"/>
      <c r="R48" s="425" t="s">
        <v>79</v>
      </c>
      <c r="S48" s="425" t="s">
        <v>80</v>
      </c>
      <c r="T48" s="174"/>
      <c r="U48" s="145"/>
      <c r="AG48" s="20"/>
    </row>
    <row r="49" spans="2:39" s="1" customFormat="1" ht="102.75" thickBot="1" x14ac:dyDescent="0.25">
      <c r="B49" s="63" t="s">
        <v>63</v>
      </c>
      <c r="C49" s="86">
        <v>2092</v>
      </c>
      <c r="D49" s="65" t="s">
        <v>64</v>
      </c>
      <c r="E49" s="169" t="s">
        <v>249</v>
      </c>
      <c r="M49" s="18"/>
      <c r="O49" s="426"/>
      <c r="P49" s="430"/>
      <c r="Q49" s="431"/>
      <c r="R49" s="426"/>
      <c r="S49" s="426"/>
      <c r="T49" s="174"/>
      <c r="U49" s="145"/>
      <c r="AG49" s="20"/>
    </row>
    <row r="50" spans="2:39" s="1" customFormat="1" x14ac:dyDescent="0.2">
      <c r="B50" s="55" t="s">
        <v>77</v>
      </c>
      <c r="C50" s="176">
        <v>277.77777800000001</v>
      </c>
      <c r="D50" s="55" t="s">
        <v>60</v>
      </c>
      <c r="E50" s="55"/>
      <c r="M50" s="18"/>
      <c r="O50" s="427"/>
      <c r="P50" s="432"/>
      <c r="Q50" s="433"/>
      <c r="R50" s="427"/>
      <c r="S50" s="427"/>
      <c r="T50" s="174"/>
      <c r="U50" s="145"/>
      <c r="AG50" s="20"/>
    </row>
    <row r="51" spans="2:39" s="1" customFormat="1" ht="26.25" customHeight="1" x14ac:dyDescent="0.2">
      <c r="B51" s="55" t="s">
        <v>76</v>
      </c>
      <c r="C51" s="55">
        <v>3.5999999999999999E-3</v>
      </c>
      <c r="D51" s="55" t="s">
        <v>60</v>
      </c>
      <c r="E51" s="55"/>
      <c r="M51" s="18"/>
      <c r="O51" s="177"/>
      <c r="P51" s="177"/>
      <c r="Q51" s="177"/>
      <c r="R51" s="177"/>
      <c r="S51" s="177"/>
      <c r="T51" s="174"/>
      <c r="U51" s="145"/>
      <c r="AG51" s="20"/>
    </row>
    <row r="52" spans="2:39" s="1" customFormat="1" x14ac:dyDescent="0.2">
      <c r="M52" s="18"/>
      <c r="O52" s="12" t="s">
        <v>216</v>
      </c>
      <c r="Q52" s="178"/>
      <c r="R52" s="178"/>
      <c r="S52" s="178"/>
      <c r="T52" s="174"/>
      <c r="U52" s="145"/>
      <c r="AG52" s="20"/>
    </row>
    <row r="53" spans="2:39" s="1" customFormat="1" x14ac:dyDescent="0.2">
      <c r="B53" s="179"/>
      <c r="C53" s="180"/>
      <c r="D53" s="88"/>
      <c r="M53" s="18"/>
      <c r="Q53" s="178"/>
      <c r="R53" s="178"/>
      <c r="S53" s="178"/>
      <c r="T53" s="174"/>
      <c r="U53" s="145"/>
      <c r="AG53" s="20"/>
    </row>
    <row r="54" spans="2:39" s="1" customFormat="1" ht="13.5" thickBot="1" x14ac:dyDescent="0.25">
      <c r="B54" s="12" t="s">
        <v>216</v>
      </c>
      <c r="M54" s="18"/>
      <c r="O54" s="73" t="s">
        <v>371</v>
      </c>
      <c r="P54" s="74"/>
      <c r="Q54" s="178"/>
      <c r="R54" s="178"/>
      <c r="S54" s="178"/>
      <c r="T54" s="174"/>
      <c r="U54" s="145"/>
      <c r="AG54" s="20"/>
    </row>
    <row r="55" spans="2:39" s="1" customFormat="1" x14ac:dyDescent="0.2">
      <c r="L55" s="107"/>
      <c r="M55" s="18"/>
      <c r="O55" s="362" t="s">
        <v>53</v>
      </c>
      <c r="P55" s="360">
        <f>NPV(C46,R26:R38)</f>
        <v>239.25891298687804</v>
      </c>
      <c r="Q55" s="178"/>
      <c r="R55" s="178"/>
      <c r="S55" s="178"/>
      <c r="T55" s="145"/>
      <c r="U55" s="145"/>
      <c r="AG55" s="20"/>
    </row>
    <row r="56" spans="2:39" s="1" customFormat="1" ht="16.5" x14ac:dyDescent="0.3">
      <c r="B56" s="93" t="s">
        <v>66</v>
      </c>
      <c r="J56" s="92"/>
      <c r="L56" s="110"/>
      <c r="M56" s="18"/>
      <c r="O56" s="363" t="s">
        <v>54</v>
      </c>
      <c r="P56" s="361">
        <f>NPV(C46,V26:V38)</f>
        <v>36.830027450530395</v>
      </c>
      <c r="X56" s="20"/>
      <c r="AG56" s="20"/>
    </row>
    <row r="57" spans="2:39" s="1" customFormat="1" x14ac:dyDescent="0.2">
      <c r="B57" s="182" t="s">
        <v>250</v>
      </c>
      <c r="C57" s="182"/>
      <c r="D57" s="182"/>
      <c r="E57" s="182"/>
      <c r="G57" s="182" t="s">
        <v>251</v>
      </c>
      <c r="H57" s="182"/>
      <c r="I57" s="182"/>
      <c r="J57" s="92"/>
      <c r="L57" s="183"/>
      <c r="M57" s="18"/>
      <c r="O57" s="364" t="s">
        <v>372</v>
      </c>
      <c r="P57" s="365">
        <f>ROUNDUP(P55/P56,0)</f>
        <v>7</v>
      </c>
      <c r="X57" s="20"/>
    </row>
    <row r="58" spans="2:39" s="1" customFormat="1" ht="28.5" x14ac:dyDescent="0.2">
      <c r="B58" s="423" t="s">
        <v>67</v>
      </c>
      <c r="C58" s="185" t="s">
        <v>252</v>
      </c>
      <c r="D58" s="185" t="s">
        <v>253</v>
      </c>
      <c r="E58" s="186" t="s">
        <v>68</v>
      </c>
      <c r="G58" s="187" t="s">
        <v>252</v>
      </c>
      <c r="H58" s="185" t="s">
        <v>253</v>
      </c>
      <c r="I58" s="186" t="s">
        <v>68</v>
      </c>
      <c r="J58" s="92"/>
      <c r="L58" s="188"/>
      <c r="M58" s="18"/>
      <c r="O58" s="184"/>
      <c r="X58" s="20"/>
    </row>
    <row r="59" spans="2:39" s="1" customFormat="1" ht="51.75" thickBot="1" x14ac:dyDescent="0.25">
      <c r="B59" s="424"/>
      <c r="C59" s="189" t="s">
        <v>254</v>
      </c>
      <c r="D59" s="190" t="s">
        <v>255</v>
      </c>
      <c r="E59" s="189" t="s">
        <v>69</v>
      </c>
      <c r="G59" s="191" t="s">
        <v>256</v>
      </c>
      <c r="H59" s="189" t="s">
        <v>257</v>
      </c>
      <c r="I59" s="192" t="s">
        <v>69</v>
      </c>
      <c r="J59" s="92"/>
      <c r="L59" s="92"/>
      <c r="M59" s="18"/>
      <c r="X59" s="20"/>
    </row>
    <row r="60" spans="2:39" s="1" customFormat="1" x14ac:dyDescent="0.2">
      <c r="B60" s="193">
        <v>2017</v>
      </c>
      <c r="C60" s="194"/>
      <c r="D60" s="194"/>
      <c r="E60" s="195"/>
      <c r="G60" s="194"/>
      <c r="H60" s="196"/>
      <c r="I60" s="195"/>
      <c r="J60" s="92"/>
      <c r="L60" s="92"/>
      <c r="M60" s="18"/>
      <c r="X60" s="20"/>
    </row>
    <row r="61" spans="2:39" s="1" customFormat="1" x14ac:dyDescent="0.2">
      <c r="B61" s="197">
        <v>2018</v>
      </c>
      <c r="C61" s="198">
        <v>0</v>
      </c>
      <c r="D61" s="198">
        <f t="shared" ref="D61:D73" si="10">$Y$12</f>
        <v>0</v>
      </c>
      <c r="E61" s="199"/>
      <c r="G61" s="200">
        <f t="shared" ref="G61:G73" si="11">E22</f>
        <v>778.66666728960001</v>
      </c>
      <c r="H61" s="201">
        <f t="shared" ref="H61:H73" si="12">F22</f>
        <v>1.2356505600000001</v>
      </c>
      <c r="I61" s="202"/>
      <c r="J61" s="92"/>
      <c r="L61" s="92"/>
      <c r="M61" s="18"/>
      <c r="X61" s="20"/>
    </row>
    <row r="62" spans="2:39" s="1" customFormat="1" x14ac:dyDescent="0.2">
      <c r="B62" s="197">
        <v>2019</v>
      </c>
      <c r="C62" s="198">
        <v>0</v>
      </c>
      <c r="D62" s="198">
        <f t="shared" si="10"/>
        <v>0</v>
      </c>
      <c r="E62" s="199"/>
      <c r="G62" s="200">
        <f t="shared" si="11"/>
        <v>908.44444517120007</v>
      </c>
      <c r="H62" s="201">
        <f t="shared" si="12"/>
        <v>1.4415923200000003</v>
      </c>
      <c r="I62" s="202"/>
      <c r="J62" s="92"/>
      <c r="L62" s="92"/>
      <c r="M62" s="18"/>
      <c r="O62" s="184"/>
      <c r="P62" s="203"/>
      <c r="X62" s="20"/>
    </row>
    <row r="63" spans="2:39" x14ac:dyDescent="0.2">
      <c r="B63" s="197">
        <v>2020</v>
      </c>
      <c r="C63" s="198">
        <v>0</v>
      </c>
      <c r="D63" s="198">
        <f t="shared" si="10"/>
        <v>0</v>
      </c>
      <c r="E63" s="199"/>
      <c r="F63" s="1"/>
      <c r="G63" s="200">
        <f t="shared" si="11"/>
        <v>1038.2222230528</v>
      </c>
      <c r="H63" s="201">
        <f t="shared" si="12"/>
        <v>1.6475340800000002</v>
      </c>
      <c r="I63" s="202"/>
      <c r="K63" s="107"/>
      <c r="N63" s="1"/>
      <c r="Q63" s="1"/>
      <c r="R63" s="1"/>
      <c r="S63" s="1"/>
      <c r="T63" s="1"/>
      <c r="U63" s="1"/>
      <c r="V63" s="1"/>
      <c r="W63" s="1"/>
      <c r="X63" s="20"/>
      <c r="Y63" s="1"/>
      <c r="Z63" s="1"/>
      <c r="AA63" s="1"/>
      <c r="AC63" s="92"/>
      <c r="AH63" s="1"/>
      <c r="AL63" s="92"/>
      <c r="AM63" s="92"/>
    </row>
    <row r="64" spans="2:39" x14ac:dyDescent="0.2">
      <c r="B64" s="197">
        <v>2021</v>
      </c>
      <c r="C64" s="198">
        <v>0</v>
      </c>
      <c r="D64" s="198">
        <f t="shared" si="10"/>
        <v>0</v>
      </c>
      <c r="E64" s="199"/>
      <c r="F64" s="1"/>
      <c r="G64" s="200">
        <f t="shared" si="11"/>
        <v>1168.0000009344001</v>
      </c>
      <c r="H64" s="201">
        <f t="shared" si="12"/>
        <v>1.8534758400000002</v>
      </c>
      <c r="I64" s="202"/>
      <c r="K64" s="110"/>
      <c r="N64" s="1"/>
      <c r="P64" s="92"/>
      <c r="S64" s="20"/>
      <c r="U64" s="92"/>
      <c r="W64" s="20"/>
      <c r="Y64" s="92"/>
      <c r="AA64" s="1"/>
      <c r="AC64" s="92"/>
      <c r="AH64" s="1"/>
      <c r="AL64" s="92"/>
      <c r="AM64" s="92"/>
    </row>
    <row r="65" spans="2:39" x14ac:dyDescent="0.2">
      <c r="B65" s="197">
        <v>2022</v>
      </c>
      <c r="C65" s="198">
        <v>0</v>
      </c>
      <c r="D65" s="198">
        <f t="shared" si="10"/>
        <v>0</v>
      </c>
      <c r="E65" s="199"/>
      <c r="F65" s="1"/>
      <c r="G65" s="200">
        <f t="shared" si="11"/>
        <v>1297.7777788160001</v>
      </c>
      <c r="H65" s="201">
        <f t="shared" si="12"/>
        <v>2.0594176000000002</v>
      </c>
      <c r="I65" s="202"/>
      <c r="K65" s="183"/>
      <c r="N65" s="1"/>
      <c r="P65" s="92"/>
      <c r="S65" s="20"/>
      <c r="U65" s="92"/>
      <c r="W65" s="20"/>
      <c r="Y65" s="92"/>
      <c r="AA65" s="1"/>
      <c r="AC65" s="92"/>
      <c r="AH65" s="1"/>
      <c r="AL65" s="92"/>
      <c r="AM65" s="92"/>
    </row>
    <row r="66" spans="2:39" x14ac:dyDescent="0.2">
      <c r="B66" s="197">
        <v>2023</v>
      </c>
      <c r="C66" s="198">
        <v>0</v>
      </c>
      <c r="D66" s="198">
        <f t="shared" si="10"/>
        <v>0</v>
      </c>
      <c r="E66" s="199"/>
      <c r="F66" s="1"/>
      <c r="G66" s="200">
        <f t="shared" si="11"/>
        <v>1427.5555566976</v>
      </c>
      <c r="H66" s="201">
        <f t="shared" si="12"/>
        <v>2.2653593599999997</v>
      </c>
      <c r="I66" s="202"/>
      <c r="K66" s="188"/>
      <c r="N66" s="1"/>
      <c r="P66" s="92"/>
      <c r="S66" s="20"/>
      <c r="U66" s="92"/>
      <c r="W66" s="20"/>
      <c r="Y66" s="92"/>
      <c r="AA66" s="1"/>
      <c r="AC66" s="92"/>
      <c r="AH66" s="1"/>
      <c r="AL66" s="92"/>
      <c r="AM66" s="92"/>
    </row>
    <row r="67" spans="2:39" x14ac:dyDescent="0.2">
      <c r="B67" s="197">
        <v>2024</v>
      </c>
      <c r="C67" s="198">
        <v>0</v>
      </c>
      <c r="D67" s="198">
        <f t="shared" si="10"/>
        <v>0</v>
      </c>
      <c r="E67" s="199"/>
      <c r="F67" s="1"/>
      <c r="G67" s="200">
        <f t="shared" si="11"/>
        <v>1557.3333345792</v>
      </c>
      <c r="H67" s="201">
        <f t="shared" si="12"/>
        <v>2.4713011200000001</v>
      </c>
      <c r="I67" s="202"/>
      <c r="K67" s="204"/>
      <c r="N67" s="1"/>
      <c r="P67" s="92"/>
      <c r="S67" s="20"/>
      <c r="U67" s="92"/>
      <c r="W67" s="20"/>
      <c r="Y67" s="92"/>
      <c r="AH67" s="1"/>
      <c r="AL67" s="92"/>
      <c r="AM67" s="92"/>
    </row>
    <row r="68" spans="2:39" x14ac:dyDescent="0.2">
      <c r="B68" s="197">
        <v>2025</v>
      </c>
      <c r="C68" s="198">
        <v>0</v>
      </c>
      <c r="D68" s="198">
        <f t="shared" si="10"/>
        <v>0</v>
      </c>
      <c r="E68" s="199"/>
      <c r="F68" s="1"/>
      <c r="G68" s="200">
        <f t="shared" si="11"/>
        <v>1687.1111124608003</v>
      </c>
      <c r="H68" s="201">
        <f t="shared" si="12"/>
        <v>2.6772428800000001</v>
      </c>
      <c r="I68" s="202"/>
      <c r="K68" s="204"/>
      <c r="N68" s="1"/>
      <c r="P68" s="92"/>
      <c r="S68" s="20"/>
      <c r="U68" s="92"/>
      <c r="W68" s="20"/>
      <c r="Y68" s="92"/>
      <c r="AH68" s="1"/>
      <c r="AL68" s="92"/>
      <c r="AM68" s="92"/>
    </row>
    <row r="69" spans="2:39" x14ac:dyDescent="0.2">
      <c r="B69" s="197">
        <v>2026</v>
      </c>
      <c r="C69" s="198">
        <v>0</v>
      </c>
      <c r="D69" s="198">
        <f t="shared" si="10"/>
        <v>0</v>
      </c>
      <c r="E69" s="199"/>
      <c r="F69" s="1"/>
      <c r="G69" s="200">
        <f t="shared" si="11"/>
        <v>1816.8888903424001</v>
      </c>
      <c r="H69" s="201">
        <f t="shared" si="12"/>
        <v>2.8831846400000005</v>
      </c>
      <c r="I69" s="202"/>
      <c r="K69" s="204"/>
      <c r="N69" s="1"/>
      <c r="P69" s="92"/>
      <c r="S69" s="20"/>
      <c r="U69" s="92"/>
      <c r="W69" s="20"/>
      <c r="AH69" s="1"/>
      <c r="AL69" s="92"/>
      <c r="AM69" s="92"/>
    </row>
    <row r="70" spans="2:39" x14ac:dyDescent="0.2">
      <c r="B70" s="197">
        <v>2027</v>
      </c>
      <c r="C70" s="198">
        <v>0</v>
      </c>
      <c r="D70" s="198">
        <f t="shared" si="10"/>
        <v>0</v>
      </c>
      <c r="E70" s="199"/>
      <c r="G70" s="200">
        <f t="shared" si="11"/>
        <v>1946.6666682240002</v>
      </c>
      <c r="H70" s="201">
        <f t="shared" si="12"/>
        <v>3.0891264000000001</v>
      </c>
      <c r="I70" s="202"/>
      <c r="K70" s="204"/>
      <c r="N70" s="1"/>
      <c r="P70" s="92"/>
      <c r="S70" s="20"/>
      <c r="U70" s="92"/>
      <c r="W70" s="20"/>
      <c r="AH70" s="1"/>
      <c r="AL70" s="92"/>
      <c r="AM70" s="92"/>
    </row>
    <row r="71" spans="2:39" x14ac:dyDescent="0.2">
      <c r="B71" s="197">
        <v>2028</v>
      </c>
      <c r="C71" s="198">
        <v>0</v>
      </c>
      <c r="D71" s="198">
        <f t="shared" si="10"/>
        <v>0</v>
      </c>
      <c r="E71" s="199"/>
      <c r="G71" s="200">
        <f t="shared" si="11"/>
        <v>2076.4444461056</v>
      </c>
      <c r="H71" s="201">
        <f t="shared" si="12"/>
        <v>3.2950681600000005</v>
      </c>
      <c r="I71" s="202"/>
      <c r="K71" s="204"/>
      <c r="N71" s="1"/>
      <c r="P71" s="92"/>
      <c r="S71" s="20"/>
      <c r="U71" s="92"/>
      <c r="W71" s="20"/>
      <c r="AH71" s="1"/>
      <c r="AL71" s="92"/>
      <c r="AM71" s="92"/>
    </row>
    <row r="72" spans="2:39" x14ac:dyDescent="0.2">
      <c r="B72" s="197">
        <v>2029</v>
      </c>
      <c r="C72" s="198">
        <v>0</v>
      </c>
      <c r="D72" s="198">
        <f t="shared" si="10"/>
        <v>0</v>
      </c>
      <c r="E72" s="199"/>
      <c r="G72" s="200">
        <f t="shared" si="11"/>
        <v>2206.2222239871999</v>
      </c>
      <c r="H72" s="201">
        <f t="shared" si="12"/>
        <v>3.50100992</v>
      </c>
      <c r="I72" s="202"/>
      <c r="K72" s="204"/>
      <c r="AH72" s="1"/>
      <c r="AL72" s="92"/>
      <c r="AM72" s="92"/>
    </row>
    <row r="73" spans="2:39" ht="13.5" thickBot="1" x14ac:dyDescent="0.25">
      <c r="B73" s="205">
        <v>2030</v>
      </c>
      <c r="C73" s="198">
        <v>0</v>
      </c>
      <c r="D73" s="198">
        <f t="shared" si="10"/>
        <v>0</v>
      </c>
      <c r="E73" s="206"/>
      <c r="G73" s="200">
        <f t="shared" si="11"/>
        <v>2336.0000018688002</v>
      </c>
      <c r="H73" s="201">
        <f t="shared" si="12"/>
        <v>3.7069516800000004</v>
      </c>
      <c r="I73" s="207"/>
      <c r="K73" s="204"/>
      <c r="AH73" s="1"/>
      <c r="AL73" s="92"/>
      <c r="AM73" s="92"/>
    </row>
    <row r="74" spans="2:39" ht="17.25" thickBot="1" x14ac:dyDescent="0.35">
      <c r="B74" s="208" t="s">
        <v>70</v>
      </c>
      <c r="C74" s="209">
        <f>SUM(C60:C73)</f>
        <v>0</v>
      </c>
      <c r="D74" s="209">
        <f>SUM(D60:D73)</f>
        <v>0</v>
      </c>
      <c r="E74" s="210"/>
      <c r="F74" s="33"/>
      <c r="G74" s="211">
        <f>SUM(G60:G73)</f>
        <v>20245.333349529599</v>
      </c>
      <c r="H74" s="212">
        <f>SUM(H60:H73)</f>
        <v>32.126914560000003</v>
      </c>
      <c r="I74" s="33"/>
      <c r="K74" s="204"/>
      <c r="AH74" s="1"/>
    </row>
    <row r="75" spans="2:39" x14ac:dyDescent="0.2">
      <c r="B75" s="92"/>
      <c r="K75" s="204"/>
      <c r="AH75" s="1"/>
    </row>
    <row r="76" spans="2:39" x14ac:dyDescent="0.2">
      <c r="B76" s="92"/>
      <c r="K76" s="204"/>
      <c r="AH76" s="1"/>
    </row>
    <row r="77" spans="2:39" ht="29.25" thickBot="1" x14ac:dyDescent="0.25">
      <c r="B77" s="213" t="s">
        <v>42</v>
      </c>
      <c r="C77" s="214" t="s">
        <v>258</v>
      </c>
      <c r="K77" s="204"/>
      <c r="AH77" s="1"/>
    </row>
    <row r="78" spans="2:39" x14ac:dyDescent="0.2">
      <c r="B78" s="215">
        <v>2018</v>
      </c>
      <c r="C78" s="216">
        <f>H61-D61</f>
        <v>1.2356505600000001</v>
      </c>
      <c r="D78" s="217"/>
      <c r="K78" s="204"/>
    </row>
    <row r="79" spans="2:39" x14ac:dyDescent="0.2">
      <c r="B79" s="218">
        <v>2019</v>
      </c>
      <c r="C79" s="219">
        <f t="shared" ref="C79:C90" si="13">H62-D62</f>
        <v>1.4415923200000003</v>
      </c>
      <c r="D79" s="217"/>
      <c r="K79" s="204"/>
    </row>
    <row r="80" spans="2:39" ht="16.5" x14ac:dyDescent="0.3">
      <c r="B80" s="218">
        <v>2020</v>
      </c>
      <c r="C80" s="219">
        <f t="shared" si="13"/>
        <v>1.6475340800000002</v>
      </c>
      <c r="D80" s="217"/>
      <c r="E80" s="220"/>
      <c r="K80" s="33"/>
    </row>
    <row r="81" spans="2:4" x14ac:dyDescent="0.2">
      <c r="B81" s="218">
        <v>2021</v>
      </c>
      <c r="C81" s="219">
        <f t="shared" si="13"/>
        <v>1.8534758400000002</v>
      </c>
      <c r="D81" s="217"/>
    </row>
    <row r="82" spans="2:4" x14ac:dyDescent="0.2">
      <c r="B82" s="218">
        <v>2022</v>
      </c>
      <c r="C82" s="219">
        <f t="shared" si="13"/>
        <v>2.0594176000000002</v>
      </c>
      <c r="D82" s="217"/>
    </row>
    <row r="83" spans="2:4" x14ac:dyDescent="0.2">
      <c r="B83" s="218">
        <v>2023</v>
      </c>
      <c r="C83" s="219">
        <f t="shared" si="13"/>
        <v>2.2653593599999997</v>
      </c>
      <c r="D83" s="217"/>
    </row>
    <row r="84" spans="2:4" x14ac:dyDescent="0.2">
      <c r="B84" s="218">
        <v>2024</v>
      </c>
      <c r="C84" s="219">
        <f t="shared" si="13"/>
        <v>2.4713011200000001</v>
      </c>
      <c r="D84" s="217"/>
    </row>
    <row r="85" spans="2:4" x14ac:dyDescent="0.2">
      <c r="B85" s="218">
        <v>2025</v>
      </c>
      <c r="C85" s="219">
        <f t="shared" si="13"/>
        <v>2.6772428800000001</v>
      </c>
      <c r="D85" s="217"/>
    </row>
    <row r="86" spans="2:4" x14ac:dyDescent="0.2">
      <c r="B86" s="218">
        <v>2026</v>
      </c>
      <c r="C86" s="219">
        <f t="shared" si="13"/>
        <v>2.8831846400000005</v>
      </c>
      <c r="D86" s="217"/>
    </row>
    <row r="87" spans="2:4" x14ac:dyDescent="0.2">
      <c r="B87" s="218">
        <v>2027</v>
      </c>
      <c r="C87" s="219">
        <f t="shared" si="13"/>
        <v>3.0891264000000001</v>
      </c>
      <c r="D87" s="217"/>
    </row>
    <row r="88" spans="2:4" x14ac:dyDescent="0.2">
      <c r="B88" s="218">
        <v>2028</v>
      </c>
      <c r="C88" s="219">
        <f t="shared" si="13"/>
        <v>3.2950681600000005</v>
      </c>
      <c r="D88" s="217"/>
    </row>
    <row r="89" spans="2:4" x14ac:dyDescent="0.2">
      <c r="B89" s="218">
        <v>2029</v>
      </c>
      <c r="C89" s="219">
        <f t="shared" si="13"/>
        <v>3.50100992</v>
      </c>
      <c r="D89" s="217"/>
    </row>
    <row r="90" spans="2:4" x14ac:dyDescent="0.2">
      <c r="B90" s="218">
        <v>2030</v>
      </c>
      <c r="C90" s="219">
        <f t="shared" si="13"/>
        <v>3.7069516800000004</v>
      </c>
      <c r="D90" s="217"/>
    </row>
    <row r="91" spans="2:4" x14ac:dyDescent="0.2">
      <c r="B91" s="221" t="s">
        <v>71</v>
      </c>
      <c r="C91" s="222">
        <f>SUM(C78:C90)</f>
        <v>32.126914560000003</v>
      </c>
    </row>
    <row r="92" spans="2:4" x14ac:dyDescent="0.2">
      <c r="B92" s="223" t="s">
        <v>72</v>
      </c>
      <c r="C92" s="224">
        <f>AVERAGE(C78:C90)</f>
        <v>2.4713011200000001</v>
      </c>
    </row>
    <row r="93" spans="2:4" x14ac:dyDescent="0.2">
      <c r="B93" s="92"/>
    </row>
    <row r="94" spans="2:4" x14ac:dyDescent="0.2">
      <c r="B94" s="92"/>
    </row>
    <row r="95" spans="2:4" x14ac:dyDescent="0.2">
      <c r="B95" s="225" t="s">
        <v>73</v>
      </c>
      <c r="C95" s="226">
        <f>(P55-P56)/C91</f>
        <v>6.3009127489754073</v>
      </c>
      <c r="D95" s="227" t="s">
        <v>74</v>
      </c>
    </row>
    <row r="97" spans="1:2" x14ac:dyDescent="0.2">
      <c r="B97" s="127"/>
    </row>
    <row r="101" spans="1:2" x14ac:dyDescent="0.2">
      <c r="B101" s="92"/>
    </row>
    <row r="102" spans="1:2" x14ac:dyDescent="0.2">
      <c r="B102" s="92"/>
    </row>
    <row r="103" spans="1:2" x14ac:dyDescent="0.2">
      <c r="B103" s="92"/>
    </row>
    <row r="104" spans="1:2" x14ac:dyDescent="0.2">
      <c r="B104" s="92"/>
    </row>
    <row r="105" spans="1:2" x14ac:dyDescent="0.2">
      <c r="B105" s="92"/>
    </row>
    <row r="106" spans="1:2" x14ac:dyDescent="0.2">
      <c r="B106" s="92"/>
    </row>
    <row r="107" spans="1:2" x14ac:dyDescent="0.2">
      <c r="A107" s="92"/>
      <c r="B107" s="92"/>
    </row>
    <row r="108" spans="1:2" x14ac:dyDescent="0.2">
      <c r="A108" s="92"/>
      <c r="B108" s="92"/>
    </row>
    <row r="109" spans="1:2" x14ac:dyDescent="0.2">
      <c r="A109" s="92"/>
      <c r="B109" s="92"/>
    </row>
    <row r="110" spans="1:2" x14ac:dyDescent="0.2">
      <c r="A110" s="92"/>
      <c r="B110" s="92"/>
    </row>
    <row r="111" spans="1:2" x14ac:dyDescent="0.2">
      <c r="A111" s="92"/>
      <c r="B111" s="92"/>
    </row>
    <row r="112" spans="1:2" x14ac:dyDescent="0.2">
      <c r="A112" s="92"/>
      <c r="B112" s="92"/>
    </row>
    <row r="113" spans="1:2" x14ac:dyDescent="0.2">
      <c r="A113" s="92"/>
      <c r="B113" s="92"/>
    </row>
    <row r="114" spans="1:2" x14ac:dyDescent="0.2">
      <c r="A114" s="92"/>
      <c r="B114" s="92"/>
    </row>
    <row r="115" spans="1:2" x14ac:dyDescent="0.2">
      <c r="A115" s="92"/>
      <c r="B115" s="92"/>
    </row>
    <row r="116" spans="1:2" x14ac:dyDescent="0.2">
      <c r="A116" s="92"/>
      <c r="B116" s="92"/>
    </row>
    <row r="117" spans="1:2" x14ac:dyDescent="0.2">
      <c r="A117" s="92"/>
      <c r="B117" s="92"/>
    </row>
    <row r="118" spans="1:2" x14ac:dyDescent="0.2">
      <c r="A118" s="92"/>
      <c r="B118" s="92"/>
    </row>
    <row r="119" spans="1:2" x14ac:dyDescent="0.2">
      <c r="A119" s="92"/>
      <c r="B119" s="92"/>
    </row>
    <row r="120" spans="1:2" x14ac:dyDescent="0.2">
      <c r="A120" s="92"/>
      <c r="B120" s="92"/>
    </row>
    <row r="121" spans="1:2" x14ac:dyDescent="0.2">
      <c r="A121" s="92"/>
      <c r="B121" s="92"/>
    </row>
    <row r="122" spans="1:2" x14ac:dyDescent="0.2">
      <c r="A122" s="92"/>
      <c r="B122" s="92"/>
    </row>
    <row r="123" spans="1:2" x14ac:dyDescent="0.2">
      <c r="A123" s="92"/>
      <c r="B123" s="92"/>
    </row>
    <row r="124" spans="1:2" x14ac:dyDescent="0.2">
      <c r="A124" s="92"/>
      <c r="B124" s="92"/>
    </row>
    <row r="125" spans="1:2" x14ac:dyDescent="0.2">
      <c r="A125" s="92"/>
      <c r="B125" s="92"/>
    </row>
    <row r="126" spans="1:2" x14ac:dyDescent="0.2">
      <c r="A126" s="92"/>
      <c r="B126" s="92"/>
    </row>
    <row r="127" spans="1:2" x14ac:dyDescent="0.2">
      <c r="A127" s="92"/>
      <c r="B127" s="92"/>
    </row>
    <row r="128" spans="1:2" x14ac:dyDescent="0.2">
      <c r="A128" s="92"/>
      <c r="B128" s="92"/>
    </row>
  </sheetData>
  <dataConsolidate/>
  <mergeCells count="23">
    <mergeCell ref="P47:Q47"/>
    <mergeCell ref="T23:T24"/>
    <mergeCell ref="V23:V24"/>
    <mergeCell ref="W23:W24"/>
    <mergeCell ref="Q23:Q24"/>
    <mergeCell ref="R23:R24"/>
    <mergeCell ref="U23:U24"/>
    <mergeCell ref="P23:P24"/>
    <mergeCell ref="O23:O24"/>
    <mergeCell ref="B8:C8"/>
    <mergeCell ref="D8:E8"/>
    <mergeCell ref="G8:H8"/>
    <mergeCell ref="I8:K8"/>
    <mergeCell ref="B9:C10"/>
    <mergeCell ref="D9:E10"/>
    <mergeCell ref="F9:F10"/>
    <mergeCell ref="G9:H10"/>
    <mergeCell ref="I9:K10"/>
    <mergeCell ref="B58:B59"/>
    <mergeCell ref="O48:O50"/>
    <mergeCell ref="P48:Q50"/>
    <mergeCell ref="R48:R50"/>
    <mergeCell ref="S48:S50"/>
  </mergeCells>
  <pageMargins left="0.7" right="0.7" top="0.75" bottom="0.75" header="0.3" footer="0.3"/>
  <pageSetup paperSize="9" scale="1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2:AR185"/>
  <sheetViews>
    <sheetView showGridLines="0" zoomScale="90" zoomScaleNormal="90" workbookViewId="0">
      <selection activeCell="F23" sqref="F23"/>
    </sheetView>
  </sheetViews>
  <sheetFormatPr defaultColWidth="11.42578125" defaultRowHeight="12.75" x14ac:dyDescent="0.2"/>
  <cols>
    <col min="1" max="1" width="4.42578125" style="1" customWidth="1"/>
    <col min="2" max="2" width="25.140625" style="92" customWidth="1"/>
    <col min="3" max="3" width="21.140625" style="92" customWidth="1"/>
    <col min="4" max="4" width="26.140625" style="92" customWidth="1"/>
    <col min="5" max="5" width="29.5703125" style="92" customWidth="1"/>
    <col min="6" max="6" width="36.5703125" style="92" customWidth="1"/>
    <col min="7" max="7" width="27.42578125" style="92" customWidth="1"/>
    <col min="8" max="8" width="21.42578125" style="92" customWidth="1"/>
    <col min="9" max="9" width="22.85546875" style="92" customWidth="1"/>
    <col min="10" max="10" width="15" style="92" customWidth="1"/>
    <col min="11" max="15" width="5.140625" style="92" customWidth="1"/>
    <col min="16" max="16" width="5.140625" style="18" customWidth="1"/>
    <col min="17" max="17" width="5.140625" style="92" customWidth="1"/>
    <col min="18" max="18" width="28.5703125" style="92" customWidth="1"/>
    <col min="19" max="19" width="28" style="92" customWidth="1"/>
    <col min="20" max="20" width="24.140625" style="92" customWidth="1"/>
    <col min="21" max="21" width="29.5703125" style="92" customWidth="1"/>
    <col min="22" max="22" width="22.42578125" style="92" customWidth="1"/>
    <col min="23" max="23" width="16" style="92" customWidth="1"/>
    <col min="24" max="24" width="22.5703125" style="92" bestFit="1" customWidth="1"/>
    <col min="25" max="25" width="8.85546875" style="92" bestFit="1" customWidth="1"/>
    <col min="26" max="26" width="35.85546875" style="92" customWidth="1"/>
    <col min="27" max="27" width="32.7109375" style="92" customWidth="1"/>
    <col min="28" max="28" width="51.85546875" style="92" customWidth="1"/>
    <col min="29" max="29" width="2.7109375" style="20" customWidth="1"/>
    <col min="30" max="30" width="23.42578125" style="92" customWidth="1"/>
    <col min="31" max="31" width="42.140625" style="92" customWidth="1"/>
    <col min="32" max="32" width="71.42578125" style="92" customWidth="1"/>
    <col min="33" max="33" width="10.85546875" style="1" customWidth="1"/>
    <col min="34" max="34" width="44.42578125" style="92" customWidth="1"/>
    <col min="35" max="35" width="27" style="92" customWidth="1"/>
    <col min="36" max="36" width="23.140625" style="92" customWidth="1"/>
    <col min="37" max="37" width="20.7109375" style="1" customWidth="1"/>
    <col min="38" max="38" width="52" style="92" customWidth="1"/>
    <col min="39" max="39" width="17" style="1" customWidth="1"/>
    <col min="40" max="40" width="53.7109375" style="1" customWidth="1"/>
    <col min="41" max="43" width="11.42578125" style="1"/>
    <col min="44" max="16384" width="11.42578125" style="92"/>
  </cols>
  <sheetData>
    <row r="2" spans="2:40" s="1" customFormat="1" ht="16.5" x14ac:dyDescent="0.3">
      <c r="B2" s="93" t="s">
        <v>363</v>
      </c>
      <c r="P2" s="18"/>
      <c r="AC2" s="20"/>
    </row>
    <row r="3" spans="2:40" s="1" customFormat="1" ht="15" customHeight="1" x14ac:dyDescent="0.3">
      <c r="B3" s="93"/>
      <c r="P3" s="18"/>
      <c r="AC3" s="20"/>
    </row>
    <row r="4" spans="2:40" s="1" customFormat="1" ht="15" customHeight="1" x14ac:dyDescent="0.3">
      <c r="B4" s="9" t="s">
        <v>29</v>
      </c>
      <c r="C4" s="9"/>
      <c r="D4" s="9"/>
      <c r="E4" s="9"/>
      <c r="F4" s="9"/>
      <c r="G4" s="9"/>
      <c r="H4" s="9"/>
      <c r="I4" s="228"/>
      <c r="J4" s="228"/>
      <c r="K4" s="228"/>
      <c r="L4" s="228"/>
      <c r="M4" s="228"/>
      <c r="N4" s="228"/>
      <c r="O4" s="228"/>
      <c r="P4" s="229"/>
      <c r="Q4" s="228"/>
      <c r="R4" s="9" t="s">
        <v>86</v>
      </c>
      <c r="S4" s="10"/>
      <c r="T4" s="10"/>
      <c r="U4" s="10"/>
      <c r="V4" s="10"/>
      <c r="W4" s="9"/>
      <c r="X4" s="9"/>
      <c r="Y4" s="9"/>
      <c r="Z4" s="10"/>
      <c r="AA4" s="10"/>
      <c r="AB4" s="10"/>
      <c r="AC4" s="10"/>
      <c r="AD4" s="10"/>
      <c r="AG4" s="20"/>
    </row>
    <row r="5" spans="2:40" s="1" customFormat="1" ht="15" customHeight="1" x14ac:dyDescent="0.2">
      <c r="B5" s="230"/>
      <c r="C5" s="231"/>
      <c r="P5" s="18"/>
      <c r="AC5" s="20"/>
    </row>
    <row r="6" spans="2:40" s="1" customFormat="1" ht="15" customHeight="1" x14ac:dyDescent="0.2">
      <c r="B6" s="12" t="s">
        <v>208</v>
      </c>
      <c r="C6" s="231"/>
      <c r="P6" s="18"/>
      <c r="R6" s="13" t="s">
        <v>209</v>
      </c>
      <c r="AC6" s="20"/>
      <c r="AG6" s="20"/>
      <c r="AH6" s="20"/>
    </row>
    <row r="7" spans="2:40" s="1" customFormat="1" ht="22.5" customHeight="1" x14ac:dyDescent="0.2">
      <c r="P7" s="97"/>
      <c r="Q7" s="98"/>
      <c r="R7" s="232" t="s">
        <v>87</v>
      </c>
      <c r="S7" s="98"/>
      <c r="T7" s="98"/>
      <c r="U7" s="98"/>
      <c r="V7" s="98"/>
      <c r="W7" s="98"/>
      <c r="X7" s="98"/>
      <c r="Y7" s="101"/>
      <c r="AC7" s="101"/>
      <c r="AG7" s="101"/>
      <c r="AM7" s="233"/>
      <c r="AN7" s="233"/>
    </row>
    <row r="8" spans="2:40" s="1" customFormat="1" ht="40.5" x14ac:dyDescent="0.2">
      <c r="B8" s="387" t="s">
        <v>32</v>
      </c>
      <c r="C8" s="383" t="s">
        <v>33</v>
      </c>
      <c r="D8" s="384"/>
      <c r="E8" s="387" t="s">
        <v>34</v>
      </c>
      <c r="F8" s="465" t="s">
        <v>35</v>
      </c>
      <c r="G8" s="383" t="s">
        <v>36</v>
      </c>
      <c r="H8" s="384"/>
      <c r="I8" s="98"/>
      <c r="J8" s="98"/>
      <c r="K8" s="98"/>
      <c r="L8" s="98"/>
      <c r="M8" s="98"/>
      <c r="N8" s="98"/>
      <c r="O8" s="98"/>
      <c r="P8" s="97"/>
      <c r="Q8" s="98"/>
      <c r="R8" s="34"/>
      <c r="S8" s="234" t="s">
        <v>259</v>
      </c>
      <c r="T8" s="234" t="s">
        <v>260</v>
      </c>
      <c r="U8" s="235" t="s">
        <v>261</v>
      </c>
      <c r="V8" s="234" t="s">
        <v>262</v>
      </c>
      <c r="W8" s="95" t="s">
        <v>263</v>
      </c>
      <c r="X8" s="96">
        <v>3.2469999999999999</v>
      </c>
      <c r="Y8" s="101"/>
      <c r="AC8" s="101"/>
      <c r="AG8" s="101"/>
      <c r="AM8" s="233"/>
      <c r="AN8" s="233"/>
    </row>
    <row r="9" spans="2:40" s="1" customFormat="1" ht="15.75" thickBot="1" x14ac:dyDescent="0.25">
      <c r="B9" s="388"/>
      <c r="C9" s="385"/>
      <c r="D9" s="386"/>
      <c r="E9" s="388"/>
      <c r="F9" s="466"/>
      <c r="G9" s="385"/>
      <c r="H9" s="386"/>
      <c r="I9" s="98"/>
      <c r="J9" s="98"/>
      <c r="K9" s="98"/>
      <c r="L9" s="98"/>
      <c r="M9" s="98"/>
      <c r="N9" s="98"/>
      <c r="O9" s="98"/>
      <c r="P9" s="236"/>
      <c r="Q9" s="237"/>
      <c r="R9" s="238" t="s">
        <v>264</v>
      </c>
      <c r="S9" s="239">
        <f>13.81/100</f>
        <v>0.1381</v>
      </c>
      <c r="T9" s="240">
        <f>S9*X8</f>
        <v>0.4484107</v>
      </c>
      <c r="U9" s="239">
        <f>16.63/100</f>
        <v>0.1663</v>
      </c>
      <c r="V9" s="241">
        <f>U9*X8</f>
        <v>0.53997609999999996</v>
      </c>
      <c r="X9" s="96"/>
      <c r="Y9" s="110"/>
      <c r="AC9" s="89"/>
      <c r="AG9" s="103"/>
      <c r="AM9" s="233"/>
      <c r="AN9" s="233"/>
    </row>
    <row r="10" spans="2:40" s="1" customFormat="1" x14ac:dyDescent="0.2">
      <c r="B10" s="445" t="s">
        <v>117</v>
      </c>
      <c r="C10" s="447" t="str">
        <f>"- Reemplazo de tecnología CFLs de " &amp; G16 &amp;"W por la tecnología tecnología LED de " &amp; H16 &amp;"W
- Reemplazo de lámparas fluorescentes lineales de T8 de " &amp; G17 &amp; " W  por lámparas fluorescentes lámparas LED de " &amp; H17 &amp; "W"</f>
        <v>- Reemplazo de tecnología CFLs de 20W por la tecnología tecnología LED de 12W
- Reemplazo de lámparas fluorescentes lineales de T8 de 36 W  por lámparas fluorescentes lámparas LED de 22W</v>
      </c>
      <c r="D10" s="448"/>
      <c r="E10" s="397" t="s">
        <v>122</v>
      </c>
      <c r="F10" s="451" t="s">
        <v>133</v>
      </c>
      <c r="G10" s="393" t="s">
        <v>396</v>
      </c>
      <c r="H10" s="394"/>
      <c r="I10" s="237"/>
      <c r="J10" s="237"/>
      <c r="K10" s="237"/>
      <c r="L10" s="237"/>
      <c r="M10" s="237"/>
      <c r="N10" s="237"/>
      <c r="O10" s="237"/>
      <c r="P10" s="236"/>
      <c r="Q10" s="237"/>
      <c r="R10" s="242" t="s">
        <v>265</v>
      </c>
      <c r="X10" s="106"/>
      <c r="Y10" s="110"/>
      <c r="AC10" s="89"/>
      <c r="AG10" s="103"/>
      <c r="AM10" s="233"/>
      <c r="AN10" s="233"/>
    </row>
    <row r="11" spans="2:40" s="1" customFormat="1" ht="83.25" customHeight="1" x14ac:dyDescent="0.2">
      <c r="B11" s="446"/>
      <c r="C11" s="449"/>
      <c r="D11" s="450"/>
      <c r="E11" s="398"/>
      <c r="F11" s="397"/>
      <c r="G11" s="395"/>
      <c r="H11" s="396"/>
      <c r="I11" s="237"/>
      <c r="J11" s="237"/>
      <c r="K11" s="237"/>
      <c r="L11" s="237"/>
      <c r="M11" s="237"/>
      <c r="N11" s="237"/>
      <c r="O11" s="237"/>
      <c r="P11" s="18"/>
      <c r="R11" s="14" t="s">
        <v>266</v>
      </c>
      <c r="Y11" s="20"/>
      <c r="Z11" s="181"/>
      <c r="AC11" s="20"/>
      <c r="AL11" s="109"/>
      <c r="AM11" s="233"/>
      <c r="AN11" s="233"/>
    </row>
    <row r="12" spans="2:40" s="1" customFormat="1" x14ac:dyDescent="0.2">
      <c r="P12" s="18"/>
      <c r="R12" s="15" t="s">
        <v>238</v>
      </c>
      <c r="Y12" s="20"/>
      <c r="Z12" s="181"/>
      <c r="AC12" s="20"/>
    </row>
    <row r="13" spans="2:40" s="1" customFormat="1" x14ac:dyDescent="0.2">
      <c r="B13" s="12" t="s">
        <v>267</v>
      </c>
      <c r="P13" s="243"/>
      <c r="R13" s="15"/>
      <c r="Y13" s="20"/>
      <c r="Z13" s="181"/>
      <c r="AA13" s="181"/>
      <c r="AB13" s="181"/>
      <c r="AC13" s="20"/>
    </row>
    <row r="14" spans="2:40" s="1" customFormat="1" x14ac:dyDescent="0.2">
      <c r="B14" s="127" t="s">
        <v>88</v>
      </c>
      <c r="C14" s="127"/>
      <c r="H14" s="244"/>
      <c r="I14" s="244"/>
      <c r="J14" s="244"/>
      <c r="K14" s="244"/>
      <c r="L14" s="244"/>
      <c r="M14" s="244"/>
      <c r="N14" s="244"/>
      <c r="O14" s="244"/>
      <c r="P14" s="243"/>
      <c r="R14" s="1" t="s">
        <v>268</v>
      </c>
      <c r="Y14" s="20"/>
      <c r="Z14" s="181"/>
      <c r="AA14" s="181"/>
      <c r="AB14" s="181"/>
      <c r="AC14" s="20"/>
    </row>
    <row r="15" spans="2:40" s="1" customFormat="1" ht="48" thickBot="1" x14ac:dyDescent="0.25">
      <c r="B15" s="28" t="s">
        <v>269</v>
      </c>
      <c r="C15" s="28" t="s">
        <v>270</v>
      </c>
      <c r="D15" s="113" t="s">
        <v>41</v>
      </c>
      <c r="E15" s="28" t="s">
        <v>374</v>
      </c>
      <c r="F15" s="111" t="s">
        <v>373</v>
      </c>
      <c r="G15" s="112" t="s">
        <v>272</v>
      </c>
      <c r="H15" s="112" t="s">
        <v>273</v>
      </c>
      <c r="K15" s="244"/>
      <c r="L15" s="244"/>
      <c r="M15" s="244"/>
      <c r="N15" s="244"/>
      <c r="O15" s="244"/>
      <c r="P15" s="243"/>
      <c r="R15" s="21" t="s">
        <v>89</v>
      </c>
      <c r="S15" s="22" t="s">
        <v>274</v>
      </c>
      <c r="T15" s="22" t="s">
        <v>275</v>
      </c>
      <c r="U15" s="22" t="s">
        <v>276</v>
      </c>
      <c r="V15" s="22" t="s">
        <v>277</v>
      </c>
      <c r="W15" s="22" t="s">
        <v>278</v>
      </c>
      <c r="X15" s="22" t="s">
        <v>279</v>
      </c>
      <c r="Y15" s="20"/>
      <c r="Z15" s="181"/>
      <c r="AA15" s="181"/>
      <c r="AB15" s="181"/>
      <c r="AC15" s="20"/>
    </row>
    <row r="16" spans="2:40" s="1" customFormat="1" ht="13.5" thickBot="1" x14ac:dyDescent="0.25">
      <c r="B16" s="90">
        <v>1</v>
      </c>
      <c r="C16" s="245">
        <v>4000000</v>
      </c>
      <c r="D16" s="245" t="s">
        <v>118</v>
      </c>
      <c r="E16" s="246">
        <f>F16/C16</f>
        <v>2.5000000000000001E-5</v>
      </c>
      <c r="F16" s="247">
        <v>100</v>
      </c>
      <c r="G16" s="247">
        <v>20</v>
      </c>
      <c r="H16" s="248">
        <v>12</v>
      </c>
      <c r="K16" s="244"/>
      <c r="L16" s="244"/>
      <c r="M16" s="244"/>
      <c r="N16" s="244"/>
      <c r="O16" s="244"/>
      <c r="P16" s="18"/>
      <c r="Q16" s="244"/>
      <c r="R16" s="35" t="s">
        <v>120</v>
      </c>
      <c r="S16" s="35">
        <f>G16</f>
        <v>20</v>
      </c>
      <c r="T16" s="35">
        <f>E81</f>
        <v>8</v>
      </c>
      <c r="U16" s="249">
        <f>S16/10^6*U24*T16*365</f>
        <v>5.84</v>
      </c>
      <c r="V16" s="250">
        <f>U16*$T$9</f>
        <v>2.6187184879999998</v>
      </c>
      <c r="W16" s="37">
        <v>12.9</v>
      </c>
      <c r="X16" s="37">
        <f>W16*U24</f>
        <v>1290</v>
      </c>
      <c r="Y16" s="20"/>
      <c r="Z16" s="181"/>
      <c r="AA16" s="181"/>
      <c r="AB16" s="181"/>
      <c r="AC16" s="20"/>
    </row>
    <row r="17" spans="2:30" s="1" customFormat="1" ht="13.5" thickBot="1" x14ac:dyDescent="0.25">
      <c r="B17" s="34">
        <v>3</v>
      </c>
      <c r="C17" s="251">
        <v>1500000</v>
      </c>
      <c r="D17" s="251" t="s">
        <v>90</v>
      </c>
      <c r="E17" s="252">
        <f>F17/C17</f>
        <v>6.666666666666667E-5</v>
      </c>
      <c r="F17" s="247">
        <v>100</v>
      </c>
      <c r="G17" s="247">
        <v>36</v>
      </c>
      <c r="H17" s="248">
        <v>22</v>
      </c>
      <c r="P17" s="18"/>
      <c r="Q17" s="244"/>
      <c r="R17" s="34" t="s">
        <v>91</v>
      </c>
      <c r="S17" s="90">
        <f>G17</f>
        <v>36</v>
      </c>
      <c r="T17" s="34">
        <f>E82</f>
        <v>8</v>
      </c>
      <c r="U17" s="67">
        <f>S17/10^6*U25*T17*365</f>
        <v>10.512</v>
      </c>
      <c r="V17" s="67">
        <f>U17*$T$9</f>
        <v>4.7136932784000001</v>
      </c>
      <c r="W17" s="67">
        <v>4.5</v>
      </c>
      <c r="X17" s="37">
        <f>W17*U25</f>
        <v>450</v>
      </c>
      <c r="Y17" s="20"/>
      <c r="AC17" s="20"/>
    </row>
    <row r="18" spans="2:30" s="1" customFormat="1" x14ac:dyDescent="0.2">
      <c r="C18" s="253"/>
      <c r="D18" s="253"/>
      <c r="P18" s="18"/>
      <c r="Q18" s="244"/>
      <c r="R18" s="1" t="s">
        <v>280</v>
      </c>
      <c r="S18" s="20"/>
      <c r="T18" s="20"/>
      <c r="U18" s="20"/>
      <c r="V18" s="20"/>
      <c r="Y18" s="256"/>
      <c r="AC18" s="20"/>
    </row>
    <row r="19" spans="2:30" s="1" customFormat="1" x14ac:dyDescent="0.2">
      <c r="P19" s="18"/>
      <c r="R19" s="1" t="s">
        <v>121</v>
      </c>
      <c r="S19" s="20"/>
      <c r="T19" s="20"/>
      <c r="U19" s="153"/>
      <c r="V19" s="153"/>
      <c r="AC19" s="20"/>
    </row>
    <row r="20" spans="2:30" s="1" customFormat="1" ht="15" x14ac:dyDescent="0.2">
      <c r="B20" s="258" t="s">
        <v>281</v>
      </c>
      <c r="C20" s="259" t="s">
        <v>92</v>
      </c>
      <c r="F20" s="258"/>
      <c r="G20" s="257"/>
      <c r="H20" s="257"/>
      <c r="P20" s="18"/>
      <c r="AC20" s="20"/>
    </row>
    <row r="21" spans="2:30" s="1" customFormat="1" ht="15" x14ac:dyDescent="0.2">
      <c r="B21" s="258" t="s">
        <v>282</v>
      </c>
      <c r="C21" s="259" t="s">
        <v>134</v>
      </c>
      <c r="P21" s="18"/>
      <c r="AC21" s="20"/>
    </row>
    <row r="22" spans="2:30" s="1" customFormat="1" ht="13.5" x14ac:dyDescent="0.2">
      <c r="B22" s="260"/>
      <c r="C22" s="259" t="s">
        <v>135</v>
      </c>
      <c r="F22" s="258"/>
      <c r="G22" s="261"/>
      <c r="H22" s="261"/>
      <c r="J22" s="261"/>
      <c r="P22" s="18"/>
      <c r="R22" s="1" t="s">
        <v>283</v>
      </c>
      <c r="AC22" s="20"/>
    </row>
    <row r="23" spans="2:30" s="1" customFormat="1" ht="39" thickBot="1" x14ac:dyDescent="0.25">
      <c r="B23" s="12"/>
      <c r="P23" s="18"/>
      <c r="R23" s="21" t="s">
        <v>89</v>
      </c>
      <c r="S23" s="21" t="s">
        <v>93</v>
      </c>
      <c r="T23" s="21" t="s">
        <v>94</v>
      </c>
      <c r="U23" s="22" t="s">
        <v>95</v>
      </c>
      <c r="V23" s="22" t="s">
        <v>284</v>
      </c>
      <c r="W23" s="22" t="s">
        <v>285</v>
      </c>
      <c r="X23" s="22" t="s">
        <v>277</v>
      </c>
      <c r="AC23" s="20"/>
    </row>
    <row r="24" spans="2:30" s="1" customFormat="1" ht="15" x14ac:dyDescent="0.2">
      <c r="B24" s="12"/>
      <c r="P24" s="18"/>
      <c r="R24" s="90" t="s">
        <v>120</v>
      </c>
      <c r="S24" s="262" t="s">
        <v>286</v>
      </c>
      <c r="T24" s="90" t="s">
        <v>96</v>
      </c>
      <c r="U24" s="263">
        <f>F16</f>
        <v>100</v>
      </c>
      <c r="V24" s="37">
        <v>24.9</v>
      </c>
      <c r="W24" s="37">
        <f>U24*V24</f>
        <v>2490</v>
      </c>
      <c r="X24" s="249">
        <f>(H16/10^6*U24*T16*365)*$T$9</f>
        <v>1.5712310928000002</v>
      </c>
      <c r="AC24" s="20"/>
    </row>
    <row r="25" spans="2:30" s="1" customFormat="1" ht="15" x14ac:dyDescent="0.2">
      <c r="B25" s="66" t="s">
        <v>98</v>
      </c>
      <c r="C25" s="452" t="s">
        <v>99</v>
      </c>
      <c r="D25" s="453"/>
      <c r="E25" s="453"/>
      <c r="F25" s="453"/>
      <c r="G25" s="453"/>
      <c r="H25" s="453"/>
      <c r="I25" s="454"/>
      <c r="P25" s="18"/>
      <c r="R25" s="34" t="s">
        <v>120</v>
      </c>
      <c r="S25" s="264" t="s">
        <v>287</v>
      </c>
      <c r="T25" s="264" t="s">
        <v>97</v>
      </c>
      <c r="U25" s="265">
        <f>F17</f>
        <v>100</v>
      </c>
      <c r="V25" s="266">
        <v>50</v>
      </c>
      <c r="W25" s="266">
        <f>U25*V25</f>
        <v>5000</v>
      </c>
      <c r="X25" s="266">
        <f>(H17/10^6*U25*T17*365)*$T$9</f>
        <v>2.8805903368000001</v>
      </c>
      <c r="AC25" s="20"/>
    </row>
    <row r="26" spans="2:30" s="1" customFormat="1" x14ac:dyDescent="0.2">
      <c r="B26" s="455" t="s">
        <v>100</v>
      </c>
      <c r="C26" s="456" t="s">
        <v>288</v>
      </c>
      <c r="D26" s="457"/>
      <c r="E26" s="457"/>
      <c r="F26" s="457"/>
      <c r="G26" s="457"/>
      <c r="H26" s="457"/>
      <c r="I26" s="458"/>
      <c r="P26" s="18"/>
      <c r="R26" s="1" t="s">
        <v>289</v>
      </c>
      <c r="S26" s="267"/>
      <c r="T26" s="267"/>
      <c r="U26" s="267"/>
      <c r="V26" s="267"/>
      <c r="W26" s="267"/>
      <c r="X26" s="267"/>
      <c r="Y26" s="20"/>
      <c r="Z26" s="20"/>
      <c r="AA26" s="20"/>
      <c r="AB26" s="20"/>
      <c r="AC26" s="20"/>
    </row>
    <row r="27" spans="2:30" s="1" customFormat="1" x14ac:dyDescent="0.2">
      <c r="B27" s="455"/>
      <c r="C27" s="459"/>
      <c r="D27" s="460"/>
      <c r="E27" s="460"/>
      <c r="F27" s="460"/>
      <c r="G27" s="460"/>
      <c r="H27" s="460"/>
      <c r="I27" s="461"/>
      <c r="P27" s="18"/>
      <c r="R27" s="1" t="s">
        <v>121</v>
      </c>
      <c r="S27" s="20"/>
      <c r="T27" s="20"/>
      <c r="U27" s="268"/>
      <c r="V27" s="153"/>
      <c r="W27" s="153"/>
      <c r="X27" s="153"/>
      <c r="Y27" s="20"/>
      <c r="Z27" s="20"/>
      <c r="AA27" s="20"/>
      <c r="AB27" s="20"/>
      <c r="AC27" s="20"/>
    </row>
    <row r="28" spans="2:30" s="1" customFormat="1" x14ac:dyDescent="0.2">
      <c r="B28" s="455" t="s">
        <v>101</v>
      </c>
      <c r="C28" s="456" t="s">
        <v>290</v>
      </c>
      <c r="D28" s="457"/>
      <c r="E28" s="457"/>
      <c r="F28" s="457"/>
      <c r="G28" s="457"/>
      <c r="H28" s="457"/>
      <c r="I28" s="458"/>
      <c r="P28" s="18"/>
      <c r="V28" s="165"/>
      <c r="Y28" s="20"/>
      <c r="Z28" s="20"/>
      <c r="AA28" s="20"/>
      <c r="AB28" s="20"/>
      <c r="AD28" s="20"/>
    </row>
    <row r="29" spans="2:30" s="1" customFormat="1" x14ac:dyDescent="0.2">
      <c r="B29" s="455"/>
      <c r="C29" s="462"/>
      <c r="D29" s="463"/>
      <c r="E29" s="463"/>
      <c r="F29" s="463"/>
      <c r="G29" s="463"/>
      <c r="H29" s="463"/>
      <c r="I29" s="464"/>
      <c r="P29" s="18"/>
      <c r="Z29" s="20"/>
      <c r="AA29" s="20"/>
      <c r="AB29" s="20"/>
    </row>
    <row r="30" spans="2:30" s="1" customFormat="1" x14ac:dyDescent="0.2">
      <c r="B30" s="455"/>
      <c r="C30" s="459"/>
      <c r="D30" s="460"/>
      <c r="E30" s="460"/>
      <c r="F30" s="460"/>
      <c r="G30" s="460"/>
      <c r="H30" s="460"/>
      <c r="I30" s="461"/>
      <c r="P30" s="18"/>
      <c r="R30" s="127" t="s">
        <v>44</v>
      </c>
      <c r="W30" s="129" t="s">
        <v>45</v>
      </c>
      <c r="X30" s="129"/>
      <c r="Y30" s="130"/>
      <c r="Z30" s="20"/>
      <c r="AA30" s="20"/>
      <c r="AB30" s="20"/>
    </row>
    <row r="31" spans="2:30" s="1" customFormat="1" ht="12.75" customHeight="1" x14ac:dyDescent="0.2">
      <c r="B31" s="269" t="s">
        <v>102</v>
      </c>
      <c r="C31" s="452" t="s">
        <v>103</v>
      </c>
      <c r="D31" s="453"/>
      <c r="E31" s="453"/>
      <c r="F31" s="453"/>
      <c r="G31" s="453"/>
      <c r="H31" s="453"/>
      <c r="I31" s="454"/>
      <c r="P31" s="18"/>
      <c r="R31" s="405" t="s">
        <v>46</v>
      </c>
      <c r="S31" s="442" t="s">
        <v>291</v>
      </c>
      <c r="T31" s="438" t="s">
        <v>292</v>
      </c>
      <c r="U31" s="438" t="s">
        <v>293</v>
      </c>
      <c r="W31" s="438" t="s">
        <v>243</v>
      </c>
      <c r="X31" s="438" t="s">
        <v>292</v>
      </c>
      <c r="Y31" s="438" t="s">
        <v>293</v>
      </c>
      <c r="Z31" s="20"/>
      <c r="AA31" s="20"/>
      <c r="AB31" s="20"/>
    </row>
    <row r="32" spans="2:30" s="1" customFormat="1" ht="27" customHeight="1" thickBot="1" x14ac:dyDescent="0.25">
      <c r="B32" s="66" t="s">
        <v>104</v>
      </c>
      <c r="P32" s="18"/>
      <c r="R32" s="434"/>
      <c r="S32" s="443"/>
      <c r="T32" s="439"/>
      <c r="U32" s="439"/>
      <c r="W32" s="439"/>
      <c r="X32" s="439"/>
      <c r="Y32" s="439"/>
      <c r="Z32" s="20"/>
      <c r="AA32" s="20"/>
      <c r="AB32" s="20"/>
    </row>
    <row r="33" spans="1:44" s="1" customFormat="1" x14ac:dyDescent="0.2">
      <c r="P33" s="270"/>
      <c r="R33" s="142">
        <v>2017</v>
      </c>
      <c r="S33" s="271">
        <f>SUM(X24:X25)</f>
        <v>4.4518214296000007</v>
      </c>
      <c r="T33" s="144">
        <f>W24+W25</f>
        <v>7490</v>
      </c>
      <c r="U33" s="144">
        <f>S33+T33</f>
        <v>7494.4518214296004</v>
      </c>
      <c r="W33" s="143">
        <f>SUM(V16+V17)</f>
        <v>7.3324117663999999</v>
      </c>
      <c r="X33" s="144">
        <f>SUM(X16:X17)</f>
        <v>1740</v>
      </c>
      <c r="Y33" s="144">
        <f>W33+X33</f>
        <v>1747.3324117663999</v>
      </c>
      <c r="Z33" s="20"/>
      <c r="AA33" s="20"/>
      <c r="AB33" s="20"/>
    </row>
    <row r="34" spans="1:44" s="1" customFormat="1" x14ac:dyDescent="0.2">
      <c r="P34" s="270"/>
      <c r="Q34" s="272"/>
      <c r="R34" s="146">
        <v>2018</v>
      </c>
      <c r="S34" s="273">
        <f t="shared" ref="S34:S46" si="0">S33*(1+$C$97)</f>
        <v>4.5853760724880006</v>
      </c>
      <c r="T34" s="34">
        <v>0</v>
      </c>
      <c r="U34" s="149">
        <f t="shared" ref="U34:U46" si="1">S34+T34</f>
        <v>4.5853760724880006</v>
      </c>
      <c r="W34" s="147">
        <f t="shared" ref="W34:W46" si="2">W33*(1+$C$97)</f>
        <v>7.5523841193920003</v>
      </c>
      <c r="X34" s="34">
        <v>0</v>
      </c>
      <c r="Y34" s="149">
        <f t="shared" ref="Y34:Y46" si="3">W34+X34</f>
        <v>7.5523841193920003</v>
      </c>
      <c r="Z34" s="20"/>
      <c r="AA34" s="20"/>
      <c r="AB34" s="20"/>
    </row>
    <row r="35" spans="1:44" s="1" customFormat="1" ht="20.25" x14ac:dyDescent="0.2">
      <c r="B35" s="83" t="s">
        <v>294</v>
      </c>
      <c r="C35" s="274" t="s">
        <v>295</v>
      </c>
      <c r="P35" s="270"/>
      <c r="Q35" s="272"/>
      <c r="R35" s="146">
        <v>2019</v>
      </c>
      <c r="S35" s="273">
        <f t="shared" si="0"/>
        <v>4.7229373546626405</v>
      </c>
      <c r="T35" s="34">
        <v>0</v>
      </c>
      <c r="U35" s="149">
        <f t="shared" si="1"/>
        <v>4.7229373546626405</v>
      </c>
      <c r="W35" s="147">
        <f t="shared" si="2"/>
        <v>7.7789556429737603</v>
      </c>
      <c r="X35" s="34">
        <v>0</v>
      </c>
      <c r="Y35" s="149">
        <f t="shared" si="3"/>
        <v>7.7789556429737603</v>
      </c>
      <c r="Z35" s="20"/>
      <c r="AA35" s="20"/>
      <c r="AB35" s="20"/>
    </row>
    <row r="36" spans="1:44" s="1" customFormat="1" ht="12.75" customHeight="1" x14ac:dyDescent="0.2">
      <c r="B36" s="12"/>
      <c r="P36" s="270"/>
      <c r="Q36" s="272"/>
      <c r="R36" s="146">
        <v>2020</v>
      </c>
      <c r="S36" s="273">
        <f t="shared" si="0"/>
        <v>4.8646254753025202</v>
      </c>
      <c r="T36" s="34">
        <v>0</v>
      </c>
      <c r="U36" s="149">
        <f t="shared" si="1"/>
        <v>4.8646254753025202</v>
      </c>
      <c r="W36" s="147">
        <f t="shared" si="2"/>
        <v>8.0123243122629741</v>
      </c>
      <c r="X36" s="34">
        <v>0</v>
      </c>
      <c r="Y36" s="149">
        <f t="shared" si="3"/>
        <v>8.0123243122629741</v>
      </c>
      <c r="Z36" s="20"/>
      <c r="AA36" s="20"/>
      <c r="AB36" s="20"/>
    </row>
    <row r="37" spans="1:44" s="1" customFormat="1" ht="15" customHeight="1" x14ac:dyDescent="0.2">
      <c r="B37" s="83" t="s">
        <v>296</v>
      </c>
      <c r="C37" s="1" t="s">
        <v>297</v>
      </c>
      <c r="P37" s="270"/>
      <c r="Q37" s="272"/>
      <c r="R37" s="146">
        <v>2021</v>
      </c>
      <c r="S37" s="273">
        <f t="shared" si="0"/>
        <v>5.0105642395615959</v>
      </c>
      <c r="T37" s="34">
        <v>0</v>
      </c>
      <c r="U37" s="149">
        <f t="shared" si="1"/>
        <v>5.0105642395615959</v>
      </c>
      <c r="W37" s="147">
        <f t="shared" si="2"/>
        <v>8.2526940416308641</v>
      </c>
      <c r="X37" s="34">
        <v>0</v>
      </c>
      <c r="Y37" s="149">
        <f t="shared" si="3"/>
        <v>8.2526940416308641</v>
      </c>
      <c r="Z37" s="20"/>
      <c r="AA37" s="20"/>
      <c r="AB37" s="20"/>
    </row>
    <row r="38" spans="1:44" s="1" customFormat="1" ht="12.75" customHeight="1" x14ac:dyDescent="0.3">
      <c r="B38" s="275" t="s">
        <v>298</v>
      </c>
      <c r="C38" s="1" t="s">
        <v>299</v>
      </c>
      <c r="P38" s="270"/>
      <c r="Q38" s="272"/>
      <c r="R38" s="146">
        <v>2022</v>
      </c>
      <c r="S38" s="273">
        <f t="shared" si="0"/>
        <v>5.1608811667484442</v>
      </c>
      <c r="T38" s="34">
        <v>0</v>
      </c>
      <c r="U38" s="149">
        <f t="shared" si="1"/>
        <v>5.1608811667484442</v>
      </c>
      <c r="W38" s="147">
        <f t="shared" si="2"/>
        <v>8.5002748628797899</v>
      </c>
      <c r="X38" s="34">
        <v>0</v>
      </c>
      <c r="Y38" s="149">
        <f t="shared" si="3"/>
        <v>8.5002748628797899</v>
      </c>
      <c r="Z38" s="20"/>
      <c r="AA38" s="20"/>
      <c r="AB38" s="20"/>
    </row>
    <row r="39" spans="1:44" s="1" customFormat="1" ht="18.75" x14ac:dyDescent="0.3">
      <c r="B39" s="275" t="s">
        <v>300</v>
      </c>
      <c r="C39" s="1" t="s">
        <v>301</v>
      </c>
      <c r="P39" s="270"/>
      <c r="Q39" s="272"/>
      <c r="R39" s="146">
        <v>2023</v>
      </c>
      <c r="S39" s="273">
        <f t="shared" si="0"/>
        <v>5.3157076017508977</v>
      </c>
      <c r="T39" s="34">
        <v>0</v>
      </c>
      <c r="U39" s="149">
        <f t="shared" si="1"/>
        <v>5.3157076017508977</v>
      </c>
      <c r="W39" s="147">
        <f t="shared" si="2"/>
        <v>8.755283108766184</v>
      </c>
      <c r="X39" s="34">
        <v>0</v>
      </c>
      <c r="Y39" s="149">
        <f t="shared" si="3"/>
        <v>8.755283108766184</v>
      </c>
      <c r="Z39" s="20"/>
      <c r="AA39" s="20"/>
      <c r="AB39" s="20"/>
    </row>
    <row r="40" spans="1:44" s="1" customFormat="1" ht="18.75" x14ac:dyDescent="0.2">
      <c r="B40" s="275" t="s">
        <v>302</v>
      </c>
      <c r="C40" s="1" t="s">
        <v>303</v>
      </c>
      <c r="P40" s="270"/>
      <c r="Q40" s="272"/>
      <c r="R40" s="146">
        <v>2024</v>
      </c>
      <c r="S40" s="273">
        <f t="shared" si="0"/>
        <v>5.4751788298034247</v>
      </c>
      <c r="T40" s="34">
        <v>0</v>
      </c>
      <c r="U40" s="149">
        <f t="shared" si="1"/>
        <v>5.4751788298034247</v>
      </c>
      <c r="W40" s="147">
        <f t="shared" si="2"/>
        <v>9.0179416020291701</v>
      </c>
      <c r="X40" s="34">
        <v>0</v>
      </c>
      <c r="Y40" s="149">
        <f t="shared" si="3"/>
        <v>9.0179416020291701</v>
      </c>
      <c r="Z40" s="20"/>
      <c r="AA40" s="20"/>
      <c r="AB40" s="20"/>
      <c r="AE40" s="92"/>
    </row>
    <row r="41" spans="1:44" s="1" customFormat="1" ht="18.75" x14ac:dyDescent="0.2">
      <c r="B41" s="275" t="s">
        <v>304</v>
      </c>
      <c r="C41" s="1" t="s">
        <v>105</v>
      </c>
      <c r="P41" s="270"/>
      <c r="Q41" s="272"/>
      <c r="R41" s="146">
        <v>2025</v>
      </c>
      <c r="S41" s="273">
        <f t="shared" si="0"/>
        <v>5.6394341946975279</v>
      </c>
      <c r="T41" s="34">
        <v>0</v>
      </c>
      <c r="U41" s="149">
        <f t="shared" si="1"/>
        <v>5.6394341946975279</v>
      </c>
      <c r="W41" s="147">
        <f t="shared" si="2"/>
        <v>9.2884798500900452</v>
      </c>
      <c r="X41" s="34">
        <v>0</v>
      </c>
      <c r="Y41" s="149">
        <f t="shared" si="3"/>
        <v>9.2884798500900452</v>
      </c>
      <c r="Z41" s="20"/>
      <c r="AA41" s="20"/>
      <c r="AB41" s="20"/>
      <c r="AE41" s="92"/>
    </row>
    <row r="42" spans="1:44" ht="15.75" x14ac:dyDescent="0.2">
      <c r="B42" s="275" t="s">
        <v>106</v>
      </c>
      <c r="C42" s="1" t="s">
        <v>107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270"/>
      <c r="Q42" s="272"/>
      <c r="R42" s="146">
        <v>2026</v>
      </c>
      <c r="S42" s="273">
        <f t="shared" si="0"/>
        <v>5.8086172205384541</v>
      </c>
      <c r="T42" s="276">
        <v>0</v>
      </c>
      <c r="U42" s="149">
        <f t="shared" si="1"/>
        <v>5.8086172205384541</v>
      </c>
      <c r="V42" s="1"/>
      <c r="W42" s="147">
        <f t="shared" si="2"/>
        <v>9.5671342455927473</v>
      </c>
      <c r="X42" s="276">
        <v>0</v>
      </c>
      <c r="Y42" s="149">
        <f t="shared" si="3"/>
        <v>9.5671342455927473</v>
      </c>
      <c r="Z42" s="20"/>
      <c r="AA42" s="1"/>
      <c r="AB42" s="1"/>
      <c r="AC42" s="1"/>
      <c r="AD42" s="1"/>
      <c r="AG42" s="92"/>
      <c r="AH42" s="1"/>
      <c r="AK42" s="92"/>
      <c r="AL42" s="1"/>
      <c r="AM42" s="92"/>
      <c r="AR42" s="1"/>
    </row>
    <row r="43" spans="1:44" x14ac:dyDescent="0.2">
      <c r="B43" s="12"/>
      <c r="C43" s="1"/>
      <c r="D43" s="1"/>
      <c r="E43" s="128"/>
      <c r="F43" s="1"/>
      <c r="G43" s="1"/>
      <c r="H43" s="1"/>
      <c r="I43" s="1"/>
      <c r="J43" s="1"/>
      <c r="K43" s="1"/>
      <c r="L43" s="1"/>
      <c r="M43" s="1"/>
      <c r="N43" s="1"/>
      <c r="O43" s="1"/>
      <c r="P43" s="270"/>
      <c r="Q43" s="272"/>
      <c r="R43" s="146">
        <v>2027</v>
      </c>
      <c r="S43" s="273">
        <f t="shared" si="0"/>
        <v>5.9828757371546075</v>
      </c>
      <c r="T43" s="276">
        <v>0</v>
      </c>
      <c r="U43" s="149">
        <f t="shared" si="1"/>
        <v>5.9828757371546075</v>
      </c>
      <c r="V43" s="1"/>
      <c r="W43" s="147">
        <f t="shared" si="2"/>
        <v>9.8541482729605292</v>
      </c>
      <c r="X43" s="276">
        <v>0</v>
      </c>
      <c r="Y43" s="149">
        <f t="shared" si="3"/>
        <v>9.8541482729605292</v>
      </c>
      <c r="Z43" s="20"/>
      <c r="AA43" s="1"/>
      <c r="AB43" s="1"/>
      <c r="AC43" s="1"/>
      <c r="AD43" s="1"/>
      <c r="AG43" s="92"/>
      <c r="AH43" s="1"/>
      <c r="AK43" s="92"/>
      <c r="AL43" s="1"/>
      <c r="AM43" s="92"/>
      <c r="AR43" s="1"/>
    </row>
    <row r="44" spans="1:44" ht="16.5" x14ac:dyDescent="0.3">
      <c r="B44" s="12"/>
      <c r="C44" s="1"/>
      <c r="D44" s="1"/>
      <c r="E44" s="128"/>
      <c r="F44" s="1"/>
      <c r="G44" s="1"/>
      <c r="H44" s="1"/>
      <c r="I44" s="1"/>
      <c r="J44" s="1"/>
      <c r="K44" s="1"/>
      <c r="L44" s="1"/>
      <c r="M44" s="1"/>
      <c r="N44" s="1"/>
      <c r="O44" s="1"/>
      <c r="P44" s="270"/>
      <c r="Q44" s="272"/>
      <c r="R44" s="146">
        <v>2028</v>
      </c>
      <c r="S44" s="273">
        <f t="shared" si="0"/>
        <v>6.1623620092692457</v>
      </c>
      <c r="T44" s="276">
        <v>0</v>
      </c>
      <c r="U44" s="149">
        <f t="shared" si="1"/>
        <v>6.1623620092692457</v>
      </c>
      <c r="V44" s="1"/>
      <c r="W44" s="147">
        <f t="shared" si="2"/>
        <v>10.149772721149345</v>
      </c>
      <c r="X44" s="276">
        <v>0</v>
      </c>
      <c r="Y44" s="149">
        <f t="shared" si="3"/>
        <v>10.149772721149345</v>
      </c>
      <c r="Z44" s="1"/>
      <c r="AA44" s="1"/>
      <c r="AB44" s="1"/>
      <c r="AC44" s="1"/>
      <c r="AD44" s="1"/>
      <c r="AE44" s="33"/>
      <c r="AG44" s="92"/>
      <c r="AH44" s="1"/>
      <c r="AK44" s="92"/>
      <c r="AL44" s="1"/>
      <c r="AM44" s="92"/>
      <c r="AR44" s="1"/>
    </row>
    <row r="45" spans="1:44" ht="18.75" customHeight="1" x14ac:dyDescent="0.2">
      <c r="B45" s="83" t="s">
        <v>305</v>
      </c>
      <c r="C45" s="274" t="s">
        <v>136</v>
      </c>
      <c r="D45" s="1"/>
      <c r="E45" s="128"/>
      <c r="F45" s="1"/>
      <c r="G45" s="1"/>
      <c r="H45" s="1"/>
      <c r="I45" s="1"/>
      <c r="J45" s="1"/>
      <c r="K45" s="1"/>
      <c r="L45" s="1"/>
      <c r="M45" s="1"/>
      <c r="N45" s="1"/>
      <c r="O45" s="1"/>
      <c r="P45" s="270"/>
      <c r="Q45" s="272"/>
      <c r="R45" s="146">
        <v>2029</v>
      </c>
      <c r="S45" s="273">
        <f t="shared" si="0"/>
        <v>6.347232869547323</v>
      </c>
      <c r="T45" s="276">
        <v>0</v>
      </c>
      <c r="U45" s="149">
        <f t="shared" si="1"/>
        <v>6.347232869547323</v>
      </c>
      <c r="V45" s="1"/>
      <c r="W45" s="147">
        <f t="shared" si="2"/>
        <v>10.454265902783826</v>
      </c>
      <c r="X45" s="276">
        <v>0</v>
      </c>
      <c r="Y45" s="149">
        <f t="shared" si="3"/>
        <v>10.454265902783826</v>
      </c>
      <c r="Z45" s="1"/>
      <c r="AA45" s="1"/>
      <c r="AB45" s="1"/>
      <c r="AC45" s="1"/>
      <c r="AD45" s="1"/>
      <c r="AG45" s="92"/>
      <c r="AH45" s="1"/>
      <c r="AK45" s="92"/>
      <c r="AL45" s="1"/>
      <c r="AM45" s="92"/>
      <c r="AR45" s="1"/>
    </row>
    <row r="46" spans="1:44" s="33" customFormat="1" ht="40.5" customHeight="1" x14ac:dyDescent="0.3">
      <c r="A46" s="1"/>
      <c r="B46" s="83"/>
      <c r="C46" s="1"/>
      <c r="D46" s="1"/>
      <c r="E46" s="128"/>
      <c r="F46" s="1"/>
      <c r="G46" s="1"/>
      <c r="H46" s="1"/>
      <c r="I46" s="1"/>
      <c r="J46" s="1"/>
      <c r="K46" s="1"/>
      <c r="L46" s="1"/>
      <c r="M46" s="1"/>
      <c r="N46" s="1"/>
      <c r="O46" s="1"/>
      <c r="P46" s="270"/>
      <c r="Q46" s="277"/>
      <c r="R46" s="146">
        <v>2030</v>
      </c>
      <c r="S46" s="273">
        <f t="shared" si="0"/>
        <v>6.5376498556337426</v>
      </c>
      <c r="T46" s="278">
        <v>0</v>
      </c>
      <c r="U46" s="149">
        <f t="shared" si="1"/>
        <v>6.5376498556337426</v>
      </c>
      <c r="V46" s="1"/>
      <c r="W46" s="147">
        <f t="shared" si="2"/>
        <v>10.767893879867341</v>
      </c>
      <c r="X46" s="278">
        <v>0</v>
      </c>
      <c r="Y46" s="149">
        <f t="shared" si="3"/>
        <v>10.767893879867341</v>
      </c>
      <c r="Z46" s="1"/>
      <c r="AA46" s="1"/>
      <c r="AB46" s="1"/>
      <c r="AC46" s="1"/>
      <c r="AD46" s="1"/>
      <c r="AE46" s="92"/>
    </row>
    <row r="47" spans="1:44" ht="38.25" customHeight="1" x14ac:dyDescent="0.3">
      <c r="B47" s="275" t="s">
        <v>306</v>
      </c>
      <c r="C47" s="1" t="s">
        <v>307</v>
      </c>
      <c r="D47" s="1"/>
      <c r="E47" s="128"/>
      <c r="F47" s="1"/>
      <c r="G47" s="1"/>
      <c r="H47" s="1"/>
      <c r="I47" s="1"/>
      <c r="J47" s="1"/>
      <c r="K47" s="1"/>
      <c r="L47" s="1"/>
      <c r="M47" s="1"/>
      <c r="N47" s="1"/>
      <c r="O47" s="1"/>
      <c r="P47" s="270"/>
      <c r="Q47" s="279"/>
      <c r="R47" s="1"/>
      <c r="S47" s="159"/>
      <c r="T47" s="159"/>
      <c r="U47" s="160"/>
      <c r="V47" s="1"/>
      <c r="W47" s="1"/>
      <c r="X47" s="1"/>
      <c r="Y47" s="160"/>
      <c r="Z47" s="1"/>
      <c r="AA47" s="1"/>
      <c r="AB47" s="1"/>
      <c r="AC47" s="1"/>
      <c r="AD47" s="1"/>
      <c r="AG47" s="92"/>
      <c r="AH47" s="1"/>
      <c r="AK47" s="92"/>
      <c r="AL47" s="1"/>
      <c r="AM47" s="92"/>
      <c r="AR47" s="1"/>
    </row>
    <row r="48" spans="1:44" ht="18.75" x14ac:dyDescent="0.3">
      <c r="B48" s="275" t="s">
        <v>308</v>
      </c>
      <c r="C48" s="1" t="s">
        <v>309</v>
      </c>
      <c r="D48" s="1"/>
      <c r="E48" s="128"/>
      <c r="F48" s="1"/>
      <c r="G48" s="1"/>
      <c r="H48" s="1"/>
      <c r="I48" s="1"/>
      <c r="J48" s="1"/>
      <c r="K48" s="1"/>
      <c r="L48" s="1"/>
      <c r="M48" s="1"/>
      <c r="N48" s="1"/>
      <c r="O48" s="1"/>
      <c r="R48" s="1"/>
      <c r="S48" s="1"/>
      <c r="T48" s="1"/>
      <c r="V48" s="1"/>
      <c r="W48" s="1"/>
      <c r="X48" s="1"/>
      <c r="Y48" s="1"/>
      <c r="Z48" s="1"/>
      <c r="AA48" s="1"/>
      <c r="AB48" s="1"/>
      <c r="AC48" s="1"/>
      <c r="AD48" s="1"/>
      <c r="AG48" s="92"/>
      <c r="AH48" s="1"/>
      <c r="AK48" s="92"/>
      <c r="AL48" s="1"/>
      <c r="AM48" s="92"/>
      <c r="AR48" s="1"/>
    </row>
    <row r="49" spans="2:44" ht="18.75" x14ac:dyDescent="0.2">
      <c r="B49" s="275" t="s">
        <v>310</v>
      </c>
      <c r="C49" s="1" t="s">
        <v>311</v>
      </c>
      <c r="D49" s="1"/>
      <c r="E49" s="128"/>
      <c r="F49" s="1"/>
      <c r="G49" s="1"/>
      <c r="H49" s="1"/>
      <c r="I49" s="1"/>
      <c r="J49" s="1"/>
      <c r="K49" s="1"/>
      <c r="L49" s="1"/>
      <c r="M49" s="1"/>
      <c r="N49" s="1"/>
      <c r="O49" s="1"/>
      <c r="W49" s="1"/>
      <c r="X49" s="1"/>
      <c r="Y49" s="1"/>
      <c r="Z49" s="1"/>
      <c r="AA49" s="1"/>
      <c r="AB49" s="1"/>
      <c r="AC49" s="1"/>
      <c r="AD49" s="1"/>
      <c r="AG49" s="92"/>
      <c r="AH49" s="1"/>
      <c r="AK49" s="92"/>
      <c r="AL49" s="1"/>
      <c r="AM49" s="92"/>
      <c r="AR49" s="1"/>
    </row>
    <row r="50" spans="2:44" x14ac:dyDescent="0.2">
      <c r="B50" s="12"/>
      <c r="C50" s="1"/>
      <c r="D50" s="1"/>
      <c r="E50" s="128"/>
      <c r="F50" s="1"/>
      <c r="G50" s="1"/>
      <c r="H50" s="1"/>
      <c r="I50" s="1"/>
      <c r="J50" s="1"/>
      <c r="K50" s="1"/>
      <c r="L50" s="1"/>
      <c r="M50" s="1"/>
      <c r="N50" s="1"/>
      <c r="O50" s="1"/>
      <c r="R50" s="12" t="s">
        <v>248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G50" s="92"/>
      <c r="AH50" s="1"/>
      <c r="AK50" s="92"/>
      <c r="AL50" s="1"/>
      <c r="AM50" s="92"/>
      <c r="AR50" s="1"/>
    </row>
    <row r="51" spans="2:44" ht="18.75" x14ac:dyDescent="0.2">
      <c r="B51" s="83" t="s">
        <v>312</v>
      </c>
      <c r="C51" s="274" t="s">
        <v>313</v>
      </c>
      <c r="D51" s="1"/>
      <c r="E51" s="128"/>
      <c r="F51" s="1"/>
      <c r="G51" s="1"/>
      <c r="H51" s="1"/>
      <c r="I51" s="1"/>
      <c r="J51" s="1"/>
      <c r="K51" s="1"/>
      <c r="L51" s="1"/>
      <c r="M51" s="1"/>
      <c r="N51" s="1"/>
      <c r="O51" s="1"/>
      <c r="R51" s="12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G51" s="92"/>
      <c r="AH51" s="1"/>
      <c r="AK51" s="92"/>
      <c r="AL51" s="1"/>
      <c r="AM51" s="92"/>
      <c r="AR51" s="1"/>
    </row>
    <row r="52" spans="2:44" ht="26.25" thickBot="1" x14ac:dyDescent="0.25">
      <c r="B52" s="275" t="s">
        <v>108</v>
      </c>
      <c r="C52" s="1" t="s">
        <v>38</v>
      </c>
      <c r="D52" s="1"/>
      <c r="E52" s="128"/>
      <c r="F52" s="1"/>
      <c r="G52" s="1"/>
      <c r="H52" s="1"/>
      <c r="I52" s="1"/>
      <c r="J52" s="1"/>
      <c r="K52" s="1"/>
      <c r="L52" s="1"/>
      <c r="M52" s="1"/>
      <c r="N52" s="1"/>
      <c r="O52" s="1"/>
      <c r="R52" s="280" t="s">
        <v>48</v>
      </c>
      <c r="S52" s="280" t="s">
        <v>49</v>
      </c>
      <c r="T52" s="280" t="s">
        <v>50</v>
      </c>
      <c r="U52" s="280" t="s">
        <v>51</v>
      </c>
      <c r="V52" s="281"/>
      <c r="W52" s="1"/>
      <c r="X52" s="1"/>
      <c r="Y52" s="1"/>
      <c r="Z52" s="1"/>
      <c r="AA52" s="1"/>
      <c r="AB52" s="1"/>
      <c r="AC52" s="1"/>
      <c r="AD52" s="1"/>
      <c r="AG52" s="92"/>
      <c r="AH52" s="1"/>
      <c r="AK52" s="92"/>
      <c r="AL52" s="1"/>
      <c r="AM52" s="92"/>
      <c r="AR52" s="1"/>
    </row>
    <row r="53" spans="2:44" ht="76.5" x14ac:dyDescent="0.3">
      <c r="B53" s="275" t="s">
        <v>314</v>
      </c>
      <c r="C53" s="1" t="s">
        <v>315</v>
      </c>
      <c r="D53" s="1"/>
      <c r="E53" s="128"/>
      <c r="F53" s="1"/>
      <c r="G53" s="1"/>
      <c r="H53" s="1"/>
      <c r="I53" s="1"/>
      <c r="J53" s="1"/>
      <c r="K53" s="1"/>
      <c r="L53" s="1"/>
      <c r="M53" s="1"/>
      <c r="N53" s="1"/>
      <c r="O53" s="1"/>
      <c r="R53" s="282" t="s">
        <v>137</v>
      </c>
      <c r="S53" s="282" t="s">
        <v>138</v>
      </c>
      <c r="T53" s="283" t="s">
        <v>79</v>
      </c>
      <c r="U53" s="284" t="s">
        <v>139</v>
      </c>
      <c r="V53" s="285"/>
      <c r="W53" s="1"/>
      <c r="X53" s="1"/>
      <c r="Y53" s="1"/>
      <c r="Z53" s="1"/>
      <c r="AA53" s="1"/>
      <c r="AB53" s="1"/>
      <c r="AC53" s="1"/>
      <c r="AD53" s="1"/>
      <c r="AG53" s="92"/>
      <c r="AH53" s="1"/>
      <c r="AK53" s="92"/>
      <c r="AL53" s="1"/>
      <c r="AM53" s="92"/>
      <c r="AR53" s="1"/>
    </row>
    <row r="54" spans="2:44" ht="18.75" x14ac:dyDescent="0.3">
      <c r="B54" s="275" t="s">
        <v>316</v>
      </c>
      <c r="C54" s="1" t="s">
        <v>317</v>
      </c>
      <c r="D54" s="1"/>
      <c r="E54" s="128"/>
      <c r="F54" s="1"/>
      <c r="G54" s="1"/>
      <c r="H54" s="1"/>
      <c r="I54" s="1"/>
      <c r="J54" s="1"/>
      <c r="K54" s="1"/>
      <c r="L54" s="1"/>
      <c r="M54" s="1"/>
      <c r="N54" s="1"/>
      <c r="O54" s="1"/>
      <c r="R54" s="286"/>
      <c r="S54" s="286"/>
      <c r="T54" s="286"/>
      <c r="U54" s="287"/>
      <c r="V54" s="285"/>
      <c r="W54" s="1"/>
      <c r="X54" s="1"/>
      <c r="Y54" s="1"/>
      <c r="Z54" s="1"/>
      <c r="AA54" s="1"/>
      <c r="AB54" s="1"/>
      <c r="AC54" s="1"/>
      <c r="AD54" s="1"/>
      <c r="AG54" s="92"/>
      <c r="AH54" s="1"/>
      <c r="AK54" s="92"/>
      <c r="AL54" s="1"/>
      <c r="AM54" s="92"/>
      <c r="AR54" s="1"/>
    </row>
    <row r="55" spans="2:44" x14ac:dyDescent="0.2">
      <c r="B55" s="12"/>
      <c r="C55" s="1"/>
      <c r="D55" s="1"/>
      <c r="E55" s="128"/>
      <c r="F55" s="1"/>
      <c r="G55" s="1"/>
      <c r="H55" s="1"/>
      <c r="I55" s="1"/>
      <c r="J55" s="1"/>
      <c r="K55" s="1"/>
      <c r="L55" s="1"/>
      <c r="M55" s="1"/>
      <c r="N55" s="1"/>
      <c r="O55" s="1"/>
      <c r="R55" s="288"/>
      <c r="S55" s="288"/>
      <c r="T55" s="288"/>
      <c r="U55" s="285"/>
      <c r="V55" s="285"/>
      <c r="W55" s="1"/>
      <c r="X55" s="1"/>
      <c r="Y55" s="1"/>
      <c r="Z55" s="1"/>
      <c r="AA55" s="1"/>
      <c r="AB55" s="1"/>
      <c r="AC55" s="1"/>
      <c r="AD55" s="1"/>
      <c r="AG55" s="92"/>
      <c r="AH55" s="1"/>
      <c r="AK55" s="92"/>
      <c r="AL55" s="1"/>
      <c r="AM55" s="92"/>
      <c r="AR55" s="1"/>
    </row>
    <row r="56" spans="2:44" x14ac:dyDescent="0.2">
      <c r="B56" s="12"/>
      <c r="C56" s="1"/>
      <c r="D56" s="1"/>
      <c r="E56" s="128"/>
      <c r="F56" s="1"/>
      <c r="G56" s="1"/>
      <c r="H56" s="1"/>
      <c r="I56" s="1"/>
      <c r="J56" s="1"/>
      <c r="K56" s="1"/>
      <c r="L56" s="1"/>
      <c r="M56" s="1"/>
      <c r="N56" s="1"/>
      <c r="O56" s="1"/>
      <c r="R56" s="288"/>
      <c r="S56" s="288"/>
      <c r="T56" s="288"/>
      <c r="U56" s="285"/>
      <c r="V56" s="285"/>
      <c r="W56" s="1"/>
      <c r="X56" s="1"/>
      <c r="Y56" s="1"/>
      <c r="Z56" s="1"/>
      <c r="AA56" s="1"/>
      <c r="AB56" s="1"/>
      <c r="AC56" s="1"/>
      <c r="AD56" s="1"/>
      <c r="AG56" s="92"/>
      <c r="AH56" s="1"/>
      <c r="AK56" s="92"/>
      <c r="AL56" s="1"/>
      <c r="AM56" s="92"/>
      <c r="AR56" s="1"/>
    </row>
    <row r="57" spans="2:44" x14ac:dyDescent="0.2">
      <c r="B57" s="12"/>
      <c r="C57" s="1"/>
      <c r="D57" s="1"/>
      <c r="E57" s="128"/>
      <c r="F57" s="1"/>
      <c r="G57" s="1"/>
      <c r="H57" s="1"/>
      <c r="I57" s="1"/>
      <c r="J57" s="1"/>
      <c r="K57" s="1"/>
      <c r="L57" s="1"/>
      <c r="M57" s="1"/>
      <c r="N57" s="1"/>
      <c r="O57" s="1"/>
      <c r="R57" s="288"/>
      <c r="S57" s="288"/>
      <c r="T57" s="288"/>
      <c r="U57" s="285"/>
      <c r="V57" s="285"/>
      <c r="W57" s="1"/>
      <c r="X57" s="1"/>
      <c r="Y57" s="1"/>
      <c r="Z57" s="1"/>
      <c r="AA57" s="1"/>
      <c r="AB57" s="1"/>
      <c r="AC57" s="1"/>
      <c r="AD57" s="1"/>
      <c r="AG57" s="92"/>
      <c r="AH57" s="1"/>
      <c r="AK57" s="92"/>
      <c r="AL57" s="1"/>
      <c r="AM57" s="92"/>
      <c r="AR57" s="1"/>
    </row>
    <row r="58" spans="2:44" x14ac:dyDescent="0.2">
      <c r="B58" s="12"/>
      <c r="C58" s="1"/>
      <c r="D58" s="1"/>
      <c r="E58" s="128"/>
      <c r="F58" s="1"/>
      <c r="G58" s="1"/>
      <c r="H58" s="1"/>
      <c r="I58" s="1"/>
      <c r="J58" s="1"/>
      <c r="K58" s="1"/>
      <c r="L58" s="1"/>
      <c r="M58" s="1"/>
      <c r="N58" s="1"/>
      <c r="O58" s="1"/>
      <c r="W58" s="1"/>
      <c r="X58" s="1"/>
      <c r="Y58" s="1"/>
      <c r="Z58" s="1"/>
      <c r="AA58" s="1"/>
      <c r="AB58" s="1"/>
      <c r="AC58" s="1"/>
      <c r="AD58" s="1"/>
      <c r="AG58" s="92"/>
      <c r="AH58" s="1"/>
      <c r="AK58" s="92"/>
      <c r="AL58" s="1"/>
      <c r="AM58" s="92"/>
      <c r="AR58" s="1"/>
    </row>
    <row r="59" spans="2:44" x14ac:dyDescent="0.2">
      <c r="B59" s="12"/>
      <c r="C59" s="1"/>
      <c r="D59" s="1"/>
      <c r="E59" s="128"/>
      <c r="F59" s="1"/>
      <c r="G59" s="1"/>
      <c r="H59" s="1"/>
      <c r="I59" s="1"/>
      <c r="J59" s="1"/>
      <c r="K59" s="1"/>
      <c r="L59" s="1"/>
      <c r="M59" s="1"/>
      <c r="N59" s="1"/>
      <c r="O59" s="1"/>
      <c r="R59" s="12" t="s">
        <v>216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G59" s="92"/>
      <c r="AH59" s="1"/>
      <c r="AK59" s="92"/>
      <c r="AL59" s="1"/>
      <c r="AM59" s="92"/>
      <c r="AR59" s="1"/>
    </row>
    <row r="60" spans="2:44" x14ac:dyDescent="0.2">
      <c r="B60" s="12"/>
      <c r="C60" s="1"/>
      <c r="D60" s="1"/>
      <c r="E60" s="128"/>
      <c r="F60" s="1"/>
      <c r="G60" s="1"/>
      <c r="H60" s="1"/>
      <c r="I60" s="1"/>
      <c r="J60" s="1"/>
      <c r="K60" s="1"/>
      <c r="L60" s="1"/>
      <c r="M60" s="1"/>
      <c r="N60" s="1"/>
      <c r="O60" s="1"/>
      <c r="R60" s="72"/>
      <c r="S60" s="72"/>
      <c r="T60" s="281"/>
      <c r="U60" s="1"/>
      <c r="V60" s="1"/>
      <c r="W60" s="1"/>
      <c r="X60" s="1"/>
      <c r="Y60" s="1"/>
      <c r="Z60" s="1"/>
      <c r="AA60" s="1"/>
      <c r="AB60" s="1"/>
      <c r="AC60" s="1"/>
      <c r="AD60" s="1"/>
      <c r="AG60" s="92"/>
      <c r="AH60" s="1"/>
      <c r="AK60" s="92"/>
      <c r="AL60" s="1"/>
      <c r="AM60" s="92"/>
      <c r="AR60" s="1"/>
    </row>
    <row r="61" spans="2:44" ht="13.5" thickBot="1" x14ac:dyDescent="0.25">
      <c r="B61" s="12"/>
      <c r="C61" s="1"/>
      <c r="D61" s="1"/>
      <c r="E61" s="128"/>
      <c r="F61" s="1"/>
      <c r="G61" s="1"/>
      <c r="H61" s="1"/>
      <c r="I61" s="1"/>
      <c r="J61" s="1"/>
      <c r="K61" s="1"/>
      <c r="L61" s="1"/>
      <c r="M61" s="1"/>
      <c r="N61" s="1"/>
      <c r="O61" s="1"/>
      <c r="R61" s="73" t="s">
        <v>371</v>
      </c>
      <c r="S61" s="74"/>
      <c r="T61" s="281"/>
      <c r="U61" s="281"/>
      <c r="V61" s="281"/>
      <c r="W61" s="1"/>
      <c r="X61" s="1"/>
      <c r="Y61" s="1"/>
      <c r="Z61" s="1"/>
      <c r="AA61" s="1"/>
      <c r="AB61" s="1"/>
      <c r="AC61" s="1"/>
      <c r="AD61" s="1"/>
      <c r="AG61" s="92"/>
      <c r="AH61" s="1"/>
      <c r="AK61" s="92"/>
      <c r="AL61" s="1"/>
      <c r="AM61" s="92"/>
      <c r="AR61" s="1"/>
    </row>
    <row r="62" spans="2:44" ht="89.25" customHeight="1" x14ac:dyDescent="0.2">
      <c r="B62" s="12"/>
      <c r="C62" s="1"/>
      <c r="D62" s="1"/>
      <c r="E62" s="128"/>
      <c r="F62" s="1"/>
      <c r="G62" s="1"/>
      <c r="H62" s="1"/>
      <c r="I62" s="1"/>
      <c r="J62" s="1"/>
      <c r="K62" s="1"/>
      <c r="L62" s="1"/>
      <c r="M62" s="1"/>
      <c r="N62" s="1"/>
      <c r="O62" s="1"/>
      <c r="R62" s="362" t="s">
        <v>53</v>
      </c>
      <c r="S62" s="76">
        <f>NPV(C98,U33:U46)/1000</f>
        <v>7.2582462410233441</v>
      </c>
      <c r="T62" s="440"/>
      <c r="U62" s="440"/>
      <c r="V62" s="110"/>
      <c r="W62" s="1"/>
      <c r="X62" s="1"/>
      <c r="Y62" s="1"/>
      <c r="Z62" s="1"/>
      <c r="AA62" s="1"/>
      <c r="AB62" s="1"/>
      <c r="AC62" s="1"/>
      <c r="AD62" s="1"/>
    </row>
    <row r="63" spans="2:44" ht="38.25" customHeight="1" x14ac:dyDescent="0.2">
      <c r="B63" s="12"/>
      <c r="C63" s="1"/>
      <c r="D63" s="1"/>
      <c r="E63" s="128"/>
      <c r="F63" s="1"/>
      <c r="G63" s="1"/>
      <c r="H63" s="1"/>
      <c r="I63" s="1"/>
      <c r="J63" s="1"/>
      <c r="K63" s="1"/>
      <c r="L63" s="1"/>
      <c r="M63" s="1"/>
      <c r="N63" s="1"/>
      <c r="O63" s="1"/>
      <c r="R63" s="363" t="s">
        <v>54</v>
      </c>
      <c r="S63" s="289">
        <f>NPV(C98,Y33:Y46)/1000</f>
        <v>1.7658444874773638</v>
      </c>
      <c r="T63" s="444"/>
      <c r="U63" s="444"/>
      <c r="V63" s="290"/>
      <c r="W63" s="1"/>
      <c r="X63" s="1"/>
      <c r="Y63" s="1"/>
      <c r="Z63" s="1"/>
      <c r="AC63" s="1"/>
      <c r="AD63" s="1"/>
    </row>
    <row r="64" spans="2:44" x14ac:dyDescent="0.2">
      <c r="B64" s="12"/>
      <c r="C64" s="1"/>
      <c r="D64" s="1"/>
      <c r="E64" s="128"/>
      <c r="F64" s="1"/>
      <c r="G64" s="1"/>
      <c r="H64" s="1"/>
      <c r="I64" s="1"/>
      <c r="J64" s="1"/>
      <c r="K64" s="1"/>
      <c r="L64" s="1"/>
      <c r="M64" s="1"/>
      <c r="N64" s="1"/>
      <c r="O64" s="1"/>
      <c r="R64" s="364" t="s">
        <v>372</v>
      </c>
      <c r="S64" s="94">
        <f>ROUNDUP(S62/S63,0)</f>
        <v>5</v>
      </c>
      <c r="T64" s="20"/>
      <c r="U64" s="20"/>
      <c r="V64" s="20"/>
      <c r="W64" s="1"/>
      <c r="X64" s="1"/>
      <c r="Y64" s="1"/>
      <c r="Z64" s="1"/>
    </row>
    <row r="65" spans="2:23" ht="12.75" customHeight="1" x14ac:dyDescent="0.2">
      <c r="B65" s="12"/>
      <c r="C65" s="1"/>
      <c r="D65" s="1"/>
      <c r="E65" s="128"/>
      <c r="F65" s="1"/>
      <c r="G65" s="1"/>
      <c r="H65" s="1"/>
      <c r="I65" s="1"/>
      <c r="J65" s="1"/>
      <c r="K65" s="1"/>
      <c r="L65" s="1"/>
      <c r="M65" s="1"/>
      <c r="N65" s="1"/>
      <c r="O65" s="1"/>
      <c r="R65" s="1"/>
      <c r="T65" s="1"/>
      <c r="U65" s="1"/>
      <c r="V65" s="1"/>
      <c r="W65" s="1"/>
    </row>
    <row r="66" spans="2:23" ht="12.75" customHeight="1" x14ac:dyDescent="0.2">
      <c r="B66" s="12"/>
      <c r="C66" s="1"/>
      <c r="D66" s="1"/>
      <c r="E66" s="128"/>
      <c r="F66" s="1"/>
      <c r="G66" s="1"/>
      <c r="H66" s="1"/>
      <c r="I66" s="1"/>
      <c r="J66" s="1"/>
      <c r="K66" s="1"/>
      <c r="L66" s="1"/>
      <c r="M66" s="1"/>
      <c r="N66" s="1"/>
      <c r="O66" s="1"/>
      <c r="R66" s="1"/>
      <c r="S66" s="1"/>
      <c r="T66" s="1"/>
      <c r="U66" s="1"/>
      <c r="V66" s="1"/>
    </row>
    <row r="67" spans="2:23" ht="18" customHeight="1" x14ac:dyDescent="0.2">
      <c r="B67" s="12"/>
      <c r="C67" s="1"/>
      <c r="D67" s="1"/>
      <c r="E67" s="128"/>
      <c r="F67" s="1"/>
      <c r="G67" s="1"/>
      <c r="H67" s="1"/>
      <c r="I67" s="1"/>
      <c r="J67" s="1"/>
      <c r="K67" s="1"/>
      <c r="L67" s="1"/>
      <c r="M67" s="1"/>
      <c r="N67" s="1"/>
      <c r="O67" s="1"/>
      <c r="R67" s="1"/>
      <c r="S67" s="1"/>
      <c r="T67" s="1"/>
      <c r="U67" s="1"/>
      <c r="V67" s="1"/>
    </row>
    <row r="68" spans="2:23" x14ac:dyDescent="0.2">
      <c r="B68" s="12"/>
      <c r="C68" s="1"/>
      <c r="D68" s="1"/>
      <c r="E68" s="128"/>
      <c r="F68" s="1"/>
      <c r="G68" s="1"/>
      <c r="H68" s="1"/>
      <c r="I68" s="1"/>
      <c r="J68" s="1"/>
      <c r="K68" s="1"/>
      <c r="L68" s="1"/>
      <c r="M68" s="1"/>
      <c r="N68" s="1"/>
      <c r="O68" s="1"/>
      <c r="R68" s="1"/>
      <c r="S68" s="1"/>
      <c r="T68" s="1"/>
      <c r="U68" s="1"/>
      <c r="V68" s="1"/>
    </row>
    <row r="69" spans="2:23" x14ac:dyDescent="0.2">
      <c r="B69" s="12"/>
      <c r="C69" s="1"/>
      <c r="D69" s="1"/>
      <c r="E69" s="128"/>
      <c r="F69" s="1"/>
      <c r="G69" s="1"/>
      <c r="H69" s="1"/>
      <c r="I69" s="1"/>
      <c r="J69" s="1"/>
      <c r="K69" s="1"/>
      <c r="L69" s="1"/>
      <c r="M69" s="1"/>
      <c r="N69" s="1"/>
      <c r="O69" s="1"/>
      <c r="R69" s="1"/>
      <c r="S69" s="1"/>
      <c r="T69" s="1"/>
      <c r="U69" s="1"/>
      <c r="V69" s="1"/>
    </row>
    <row r="70" spans="2:23" x14ac:dyDescent="0.2">
      <c r="B70" s="1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R70" s="1"/>
      <c r="S70" s="1"/>
      <c r="T70" s="1"/>
      <c r="U70" s="1"/>
      <c r="V70" s="1"/>
    </row>
    <row r="71" spans="2:23" ht="15.75" x14ac:dyDescent="0.3">
      <c r="B71" s="291" t="s">
        <v>318</v>
      </c>
      <c r="G71" s="1"/>
      <c r="H71" s="1"/>
      <c r="I71" s="1"/>
      <c r="J71" s="1"/>
      <c r="K71" s="1"/>
      <c r="L71" s="1"/>
      <c r="M71" s="1"/>
      <c r="N71" s="1"/>
      <c r="O71" s="1"/>
      <c r="R71" s="1"/>
      <c r="S71" s="1"/>
      <c r="T71" s="1"/>
      <c r="U71" s="1"/>
      <c r="V71" s="1"/>
    </row>
    <row r="72" spans="2:23" x14ac:dyDescent="0.2">
      <c r="B72" s="291"/>
      <c r="G72" s="1"/>
      <c r="H72" s="1"/>
      <c r="I72" s="1"/>
      <c r="J72" s="1"/>
      <c r="K72" s="1"/>
      <c r="L72" s="1"/>
      <c r="M72" s="1"/>
      <c r="N72" s="1"/>
      <c r="O72" s="1"/>
      <c r="R72" s="1"/>
      <c r="S72" s="1"/>
      <c r="T72" s="1"/>
      <c r="U72" s="1"/>
      <c r="V72" s="1"/>
    </row>
    <row r="73" spans="2:23" ht="32.25" thickBot="1" x14ac:dyDescent="0.25">
      <c r="B73" s="46" t="s">
        <v>269</v>
      </c>
      <c r="C73" s="46" t="s">
        <v>319</v>
      </c>
      <c r="D73" s="46" t="s">
        <v>320</v>
      </c>
      <c r="E73" s="46" t="s">
        <v>321</v>
      </c>
      <c r="F73" s="292" t="s">
        <v>322</v>
      </c>
      <c r="G73" s="1"/>
      <c r="H73" s="1"/>
      <c r="I73" s="1"/>
      <c r="J73" s="1"/>
      <c r="K73" s="1"/>
      <c r="L73" s="1"/>
      <c r="M73" s="1"/>
      <c r="N73" s="1"/>
      <c r="O73" s="1"/>
    </row>
    <row r="74" spans="2:23" x14ac:dyDescent="0.2">
      <c r="B74" s="293" t="str">
        <f>D16</f>
        <v>Lámparas CFL</v>
      </c>
      <c r="C74" s="159">
        <f>E81</f>
        <v>8</v>
      </c>
      <c r="D74" s="1">
        <f>20*24</f>
        <v>480</v>
      </c>
      <c r="E74" s="1">
        <v>20</v>
      </c>
      <c r="F74" s="294">
        <f>C74*E74*0.5/D74</f>
        <v>0.16666666666666666</v>
      </c>
      <c r="G74" s="1"/>
      <c r="H74" s="1"/>
      <c r="I74" s="1"/>
      <c r="J74" s="1"/>
      <c r="K74" s="1"/>
      <c r="L74" s="1"/>
      <c r="M74" s="1"/>
      <c r="N74" s="1"/>
      <c r="O74" s="1"/>
    </row>
    <row r="75" spans="2:23" ht="25.5" x14ac:dyDescent="0.2">
      <c r="B75" s="293" t="str">
        <f>D17</f>
        <v>Lámparas fluorescentes (Comercial)</v>
      </c>
      <c r="C75" s="159">
        <f>E82</f>
        <v>8</v>
      </c>
      <c r="D75" s="1">
        <f t="shared" ref="D75" si="4">20*24</f>
        <v>480</v>
      </c>
      <c r="E75" s="1">
        <v>20</v>
      </c>
      <c r="F75" s="294">
        <f>C75*E75*0.5/D75</f>
        <v>0.16666666666666666</v>
      </c>
      <c r="G75" s="1"/>
      <c r="H75" s="1"/>
      <c r="I75" s="1"/>
      <c r="J75" s="1"/>
      <c r="K75" s="1"/>
      <c r="L75" s="1"/>
      <c r="M75" s="1"/>
      <c r="N75" s="1"/>
      <c r="O75" s="1"/>
    </row>
    <row r="76" spans="2:23" x14ac:dyDescent="0.2">
      <c r="B76" s="293"/>
      <c r="C76" s="1"/>
      <c r="D76" s="1"/>
      <c r="E76" s="1"/>
      <c r="F76" s="294"/>
      <c r="G76" s="1"/>
      <c r="H76" s="1"/>
      <c r="I76" s="1"/>
      <c r="J76" s="1"/>
      <c r="K76" s="1"/>
      <c r="L76" s="1"/>
      <c r="M76" s="1"/>
      <c r="N76" s="1"/>
      <c r="O76" s="1"/>
    </row>
    <row r="77" spans="2:23" x14ac:dyDescent="0.2">
      <c r="G77" s="1"/>
      <c r="H77" s="1"/>
      <c r="I77" s="1"/>
      <c r="J77" s="1"/>
      <c r="K77" s="1"/>
      <c r="L77" s="1"/>
      <c r="M77" s="1"/>
      <c r="N77" s="1"/>
      <c r="O77" s="1"/>
    </row>
    <row r="78" spans="2:23" ht="18" x14ac:dyDescent="0.35">
      <c r="B78" s="291" t="s">
        <v>323</v>
      </c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2:23" x14ac:dyDescent="0.2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2:23" ht="48" thickBot="1" x14ac:dyDescent="0.25">
      <c r="B80" s="46" t="s">
        <v>324</v>
      </c>
      <c r="C80" s="295" t="s">
        <v>325</v>
      </c>
      <c r="D80" s="295" t="s">
        <v>326</v>
      </c>
      <c r="E80" s="295" t="s">
        <v>327</v>
      </c>
      <c r="F80" s="296" t="s">
        <v>328</v>
      </c>
      <c r="G80" s="1"/>
      <c r="H80" s="1"/>
      <c r="I80" s="1"/>
      <c r="J80" s="1"/>
      <c r="K80" s="1"/>
      <c r="L80" s="1"/>
      <c r="M80" s="1"/>
      <c r="N80" s="1"/>
      <c r="O80" s="1"/>
    </row>
    <row r="81" spans="2:15" x14ac:dyDescent="0.2">
      <c r="B81" s="293" t="str">
        <f>D16</f>
        <v>Lámparas CFL</v>
      </c>
      <c r="C81" s="1">
        <f t="shared" ref="C81:D82" si="5">G16</f>
        <v>20</v>
      </c>
      <c r="D81" s="297">
        <f t="shared" si="5"/>
        <v>12</v>
      </c>
      <c r="E81" s="159">
        <f>$C$96</f>
        <v>8</v>
      </c>
      <c r="F81" s="298">
        <f>(C81-D81)*E81*365/1000</f>
        <v>23.36</v>
      </c>
      <c r="G81" s="1"/>
      <c r="H81" s="1"/>
      <c r="I81" s="1"/>
      <c r="J81" s="1"/>
      <c r="K81" s="1"/>
      <c r="L81" s="1"/>
      <c r="M81" s="1"/>
      <c r="N81" s="1"/>
      <c r="O81" s="1"/>
    </row>
    <row r="82" spans="2:15" ht="25.5" x14ac:dyDescent="0.2">
      <c r="B82" s="293" t="str">
        <f>D17</f>
        <v>Lámparas fluorescentes (Comercial)</v>
      </c>
      <c r="C82" s="1">
        <f t="shared" si="5"/>
        <v>36</v>
      </c>
      <c r="D82" s="297">
        <f t="shared" si="5"/>
        <v>22</v>
      </c>
      <c r="E82" s="159">
        <f>$C$96</f>
        <v>8</v>
      </c>
      <c r="F82" s="298">
        <f>(C82-D82)*E82*365/1000</f>
        <v>40.880000000000003</v>
      </c>
      <c r="G82" s="1"/>
      <c r="H82" s="1"/>
      <c r="I82" s="1"/>
      <c r="J82" s="1"/>
      <c r="K82" s="1"/>
      <c r="L82" s="1"/>
      <c r="M82" s="1"/>
      <c r="N82" s="1"/>
      <c r="O82" s="1"/>
    </row>
    <row r="83" spans="2:15" x14ac:dyDescent="0.2">
      <c r="B83" s="293"/>
      <c r="C83" s="1"/>
      <c r="D83" s="297"/>
      <c r="E83" s="159"/>
      <c r="F83" s="298"/>
      <c r="G83" s="1"/>
      <c r="H83" s="1"/>
      <c r="I83" s="1"/>
      <c r="J83" s="1"/>
      <c r="K83" s="1"/>
      <c r="L83" s="1"/>
      <c r="M83" s="1"/>
      <c r="N83" s="1"/>
      <c r="O83" s="1"/>
    </row>
    <row r="84" spans="2:15" x14ac:dyDescent="0.2">
      <c r="G84" s="1"/>
      <c r="H84" s="1"/>
      <c r="I84" s="1"/>
      <c r="J84" s="1"/>
      <c r="K84" s="1"/>
      <c r="L84" s="1"/>
      <c r="M84" s="1"/>
      <c r="N84" s="1"/>
      <c r="O84" s="1"/>
    </row>
    <row r="85" spans="2:15" ht="18" x14ac:dyDescent="0.35">
      <c r="B85" s="291" t="s">
        <v>329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2:15" x14ac:dyDescent="0.2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2:15" ht="45.75" thickBot="1" x14ac:dyDescent="0.25">
      <c r="B87" s="46" t="s">
        <v>324</v>
      </c>
      <c r="C87" s="46" t="s">
        <v>330</v>
      </c>
      <c r="D87" s="46" t="s">
        <v>331</v>
      </c>
      <c r="E87" s="46" t="s">
        <v>332</v>
      </c>
      <c r="F87" s="46" t="s">
        <v>109</v>
      </c>
      <c r="G87" s="46" t="s">
        <v>110</v>
      </c>
      <c r="H87" s="292" t="s">
        <v>333</v>
      </c>
      <c r="I87" s="1"/>
      <c r="J87" s="1"/>
      <c r="K87" s="1"/>
      <c r="L87" s="1"/>
      <c r="M87" s="1"/>
      <c r="N87" s="1"/>
      <c r="O87" s="1"/>
    </row>
    <row r="88" spans="2:15" x14ac:dyDescent="0.2">
      <c r="B88" s="299" t="str">
        <f>B81</f>
        <v>Lámparas CFL</v>
      </c>
      <c r="C88" s="300">
        <f>F16</f>
        <v>100</v>
      </c>
      <c r="D88" s="301">
        <f>F74</f>
        <v>0.16666666666666666</v>
      </c>
      <c r="E88" s="302">
        <f>F81</f>
        <v>23.36</v>
      </c>
      <c r="F88" s="303">
        <v>0.12</v>
      </c>
      <c r="G88" s="258">
        <v>0.95</v>
      </c>
      <c r="H88" s="304">
        <f>C88*(1-D88)*E88/(1-F88)*G88</f>
        <v>2101.5151515151515</v>
      </c>
      <c r="I88" s="1"/>
      <c r="J88" s="1"/>
      <c r="K88" s="1"/>
      <c r="L88" s="1"/>
      <c r="M88" s="1"/>
      <c r="N88" s="1"/>
      <c r="O88" s="1"/>
    </row>
    <row r="89" spans="2:15" ht="25.5" x14ac:dyDescent="0.2">
      <c r="B89" s="299" t="str">
        <f>B82</f>
        <v>Lámparas fluorescentes (Comercial)</v>
      </c>
      <c r="C89" s="300">
        <v>100</v>
      </c>
      <c r="D89" s="301">
        <f>F75</f>
        <v>0.16666666666666666</v>
      </c>
      <c r="E89" s="302">
        <f>F82</f>
        <v>40.880000000000003</v>
      </c>
      <c r="F89" s="303">
        <v>0.12</v>
      </c>
      <c r="G89" s="258">
        <v>0.95</v>
      </c>
      <c r="H89" s="304">
        <f>C89*(1-D89)*E89/(1-F89)*G89</f>
        <v>3677.6515151515155</v>
      </c>
      <c r="I89" s="1"/>
      <c r="J89" s="1"/>
      <c r="K89" s="1"/>
      <c r="L89" s="1"/>
      <c r="M89" s="1"/>
      <c r="N89" s="1"/>
      <c r="O89" s="1"/>
    </row>
    <row r="90" spans="2:15" x14ac:dyDescent="0.2">
      <c r="B90" s="299"/>
      <c r="C90" s="300"/>
      <c r="D90" s="301"/>
      <c r="E90" s="302"/>
      <c r="F90" s="303"/>
      <c r="G90" s="258"/>
      <c r="H90" s="304"/>
      <c r="I90" s="1"/>
      <c r="J90" s="1"/>
      <c r="K90" s="1"/>
      <c r="L90" s="1"/>
      <c r="M90" s="1"/>
      <c r="N90" s="1"/>
      <c r="O90" s="1"/>
    </row>
    <row r="91" spans="2:15" x14ac:dyDescent="0.2">
      <c r="I91" s="1"/>
      <c r="J91" s="1"/>
      <c r="K91" s="1"/>
      <c r="L91" s="1"/>
      <c r="M91" s="1"/>
      <c r="N91" s="1"/>
      <c r="O91" s="1"/>
    </row>
    <row r="92" spans="2:15" x14ac:dyDescent="0.2">
      <c r="B92" s="12" t="s">
        <v>215</v>
      </c>
      <c r="C92" s="1"/>
      <c r="D92" s="1"/>
      <c r="E92" s="1"/>
      <c r="F92" s="303"/>
      <c r="G92" s="258"/>
      <c r="H92" s="305"/>
      <c r="I92" s="306"/>
      <c r="J92" s="1"/>
      <c r="K92" s="1"/>
      <c r="L92" s="1"/>
      <c r="M92" s="1"/>
      <c r="N92" s="1"/>
      <c r="O92" s="1"/>
    </row>
    <row r="93" spans="2:15" ht="13.5" thickBot="1" x14ac:dyDescent="0.25">
      <c r="B93" s="46" t="s">
        <v>9</v>
      </c>
      <c r="C93" s="48" t="s">
        <v>10</v>
      </c>
      <c r="D93" s="48" t="s">
        <v>11</v>
      </c>
      <c r="E93" s="48" t="s">
        <v>12</v>
      </c>
      <c r="I93" s="1"/>
      <c r="J93" s="1"/>
      <c r="K93" s="1"/>
      <c r="L93" s="1"/>
      <c r="M93" s="1"/>
      <c r="N93" s="1"/>
      <c r="O93" s="1"/>
    </row>
    <row r="94" spans="2:15" ht="25.5" x14ac:dyDescent="0.2">
      <c r="B94" s="161" t="s">
        <v>13</v>
      </c>
      <c r="C94" s="307">
        <v>0.01</v>
      </c>
      <c r="D94" s="308" t="s">
        <v>14</v>
      </c>
      <c r="E94" s="53" t="s">
        <v>15</v>
      </c>
      <c r="I94" s="1"/>
      <c r="J94" s="1"/>
      <c r="K94" s="1"/>
      <c r="L94" s="1"/>
      <c r="M94" s="1"/>
      <c r="N94" s="1"/>
      <c r="O94" s="1"/>
    </row>
    <row r="95" spans="2:15" ht="13.5" thickBot="1" x14ac:dyDescent="0.25">
      <c r="B95" s="55" t="s">
        <v>16</v>
      </c>
      <c r="C95" s="309">
        <v>0.44080000000000003</v>
      </c>
      <c r="D95" s="57" t="s">
        <v>17</v>
      </c>
      <c r="E95" s="58" t="s">
        <v>392</v>
      </c>
      <c r="I95" s="1"/>
      <c r="J95" s="1"/>
      <c r="K95" s="1"/>
      <c r="L95" s="1"/>
      <c r="M95" s="1"/>
      <c r="N95" s="1"/>
      <c r="O95" s="1"/>
    </row>
    <row r="96" spans="2:15" ht="13.5" thickBot="1" x14ac:dyDescent="0.25">
      <c r="B96" s="310" t="s">
        <v>111</v>
      </c>
      <c r="C96" s="311">
        <v>8</v>
      </c>
      <c r="D96" s="312" t="s">
        <v>112</v>
      </c>
      <c r="E96" s="313" t="s">
        <v>119</v>
      </c>
      <c r="I96" s="1"/>
      <c r="J96" s="1"/>
      <c r="K96" s="1"/>
      <c r="L96" s="1"/>
      <c r="M96" s="1"/>
      <c r="N96" s="1"/>
      <c r="O96" s="1"/>
    </row>
    <row r="97" spans="2:15" ht="51.75" thickBot="1" x14ac:dyDescent="0.25">
      <c r="B97" s="63" t="s">
        <v>57</v>
      </c>
      <c r="C97" s="314">
        <v>0.03</v>
      </c>
      <c r="D97" s="65" t="s">
        <v>14</v>
      </c>
      <c r="E97" s="169" t="s">
        <v>84</v>
      </c>
      <c r="I97" s="1"/>
      <c r="J97" s="1"/>
      <c r="K97" s="1"/>
      <c r="L97" s="1"/>
      <c r="M97" s="1"/>
      <c r="N97" s="1"/>
      <c r="O97" s="1"/>
    </row>
    <row r="98" spans="2:15" ht="26.25" thickBot="1" x14ac:dyDescent="0.25">
      <c r="B98" s="63" t="s">
        <v>47</v>
      </c>
      <c r="C98" s="315">
        <v>0.04</v>
      </c>
      <c r="D98" s="65" t="s">
        <v>14</v>
      </c>
      <c r="E98" s="169" t="s">
        <v>58</v>
      </c>
      <c r="H98" s="1"/>
      <c r="I98" s="1"/>
      <c r="J98" s="1"/>
      <c r="K98" s="1"/>
      <c r="L98" s="1"/>
      <c r="M98" s="1"/>
      <c r="N98" s="1"/>
      <c r="O98" s="1"/>
    </row>
    <row r="99" spans="2:15" x14ac:dyDescent="0.2"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2:15" x14ac:dyDescent="0.2">
      <c r="B100" s="127" t="s">
        <v>65</v>
      </c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2:15" ht="28.5" x14ac:dyDescent="0.2">
      <c r="B101" s="316" t="s">
        <v>46</v>
      </c>
      <c r="C101" s="111" t="s">
        <v>113</v>
      </c>
      <c r="D101" s="111" t="s">
        <v>334</v>
      </c>
      <c r="E101" s="111" t="s">
        <v>335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2:15" ht="13.5" thickBot="1" x14ac:dyDescent="0.25">
      <c r="B102" s="317"/>
      <c r="C102" s="141"/>
      <c r="D102" s="317"/>
      <c r="E102" s="317"/>
      <c r="F102" s="1"/>
      <c r="G102" s="1"/>
      <c r="H102" s="1"/>
      <c r="I102" s="1"/>
      <c r="J102" s="1"/>
      <c r="K102" s="1"/>
      <c r="L102" s="1"/>
      <c r="M102" s="272"/>
      <c r="N102" s="272"/>
      <c r="O102" s="1"/>
    </row>
    <row r="103" spans="2:15" x14ac:dyDescent="0.2">
      <c r="B103" s="318">
        <v>2017</v>
      </c>
      <c r="C103" s="319"/>
      <c r="D103" s="320">
        <f>SUM(H88:H90)/1000</f>
        <v>5.7791666666666668</v>
      </c>
      <c r="E103" s="321"/>
      <c r="F103" s="1"/>
      <c r="G103" s="1"/>
      <c r="H103" s="1"/>
      <c r="I103" s="1"/>
      <c r="J103" s="1"/>
      <c r="K103" s="1"/>
      <c r="L103" s="1"/>
      <c r="M103" s="272"/>
      <c r="N103" s="272"/>
      <c r="O103" s="1"/>
    </row>
    <row r="104" spans="2:15" x14ac:dyDescent="0.2">
      <c r="B104" s="239">
        <v>2018</v>
      </c>
      <c r="C104" s="322">
        <v>0.02</v>
      </c>
      <c r="D104" s="149">
        <f t="shared" ref="D104:D116" si="6">D103*(1+$C$94)</f>
        <v>5.8369583333333335</v>
      </c>
      <c r="E104" s="147">
        <f>D104*C104</f>
        <v>0.11673916666666667</v>
      </c>
      <c r="F104" s="1"/>
      <c r="G104" s="1"/>
      <c r="H104" s="1"/>
      <c r="I104" s="1"/>
      <c r="J104" s="1"/>
      <c r="K104" s="1"/>
      <c r="L104" s="1"/>
      <c r="M104" s="272"/>
      <c r="N104" s="272"/>
      <c r="O104" s="1"/>
    </row>
    <row r="105" spans="2:15" x14ac:dyDescent="0.2">
      <c r="B105" s="239">
        <v>2019</v>
      </c>
      <c r="C105" s="323">
        <f>C104+($C$116-$C$104)/12</f>
        <v>0.10166666666666667</v>
      </c>
      <c r="D105" s="149">
        <f t="shared" si="6"/>
        <v>5.895327916666667</v>
      </c>
      <c r="E105" s="147">
        <f t="shared" ref="E105:E114" si="7">D105*C105</f>
        <v>0.59935833819444451</v>
      </c>
      <c r="F105" s="165"/>
      <c r="G105" s="1"/>
      <c r="H105" s="272"/>
      <c r="I105" s="272"/>
      <c r="J105" s="272"/>
      <c r="K105" s="272"/>
      <c r="L105" s="272"/>
      <c r="M105" s="272"/>
      <c r="N105" s="272"/>
      <c r="O105" s="1"/>
    </row>
    <row r="106" spans="2:15" x14ac:dyDescent="0.2">
      <c r="B106" s="239">
        <v>2020</v>
      </c>
      <c r="C106" s="323">
        <f t="shared" ref="C106:C115" si="8">C105+($C$116-$C$104)/12</f>
        <v>0.18333333333333335</v>
      </c>
      <c r="D106" s="149">
        <f t="shared" si="6"/>
        <v>5.9542811958333335</v>
      </c>
      <c r="E106" s="147">
        <f t="shared" si="7"/>
        <v>1.0916182192361112</v>
      </c>
      <c r="F106" s="165"/>
      <c r="G106" s="1"/>
      <c r="H106" s="272"/>
      <c r="I106" s="272"/>
      <c r="J106" s="272"/>
      <c r="K106" s="272"/>
      <c r="L106" s="272"/>
      <c r="M106" s="272"/>
      <c r="N106" s="272"/>
      <c r="O106" s="272"/>
    </row>
    <row r="107" spans="2:15" x14ac:dyDescent="0.2">
      <c r="B107" s="239">
        <v>2021</v>
      </c>
      <c r="C107" s="323">
        <f t="shared" si="8"/>
        <v>0.26500000000000001</v>
      </c>
      <c r="D107" s="149">
        <f t="shared" si="6"/>
        <v>6.0138240077916665</v>
      </c>
      <c r="E107" s="147">
        <f t="shared" si="7"/>
        <v>1.5936633620647918</v>
      </c>
      <c r="F107" s="165"/>
      <c r="G107" s="1"/>
      <c r="H107" s="272"/>
      <c r="I107" s="272"/>
      <c r="J107" s="272"/>
      <c r="K107" s="272"/>
      <c r="L107" s="272"/>
      <c r="M107" s="272"/>
      <c r="N107" s="272"/>
      <c r="O107" s="272"/>
    </row>
    <row r="108" spans="2:15" x14ac:dyDescent="0.2">
      <c r="B108" s="239">
        <v>2022</v>
      </c>
      <c r="C108" s="323">
        <f t="shared" si="8"/>
        <v>0.34666666666666668</v>
      </c>
      <c r="D108" s="149">
        <f t="shared" si="6"/>
        <v>6.0739622478695834</v>
      </c>
      <c r="E108" s="147">
        <f t="shared" si="7"/>
        <v>2.1056402459281225</v>
      </c>
      <c r="F108" s="165"/>
      <c r="G108" s="1"/>
      <c r="H108" s="272"/>
      <c r="I108" s="272"/>
      <c r="J108" s="272"/>
      <c r="K108" s="272"/>
      <c r="L108" s="272"/>
      <c r="M108" s="272"/>
      <c r="N108" s="272"/>
      <c r="O108" s="272"/>
    </row>
    <row r="109" spans="2:15" x14ac:dyDescent="0.2">
      <c r="B109" s="239">
        <v>2023</v>
      </c>
      <c r="C109" s="323">
        <f t="shared" si="8"/>
        <v>0.42833333333333334</v>
      </c>
      <c r="D109" s="149">
        <f t="shared" si="6"/>
        <v>6.1347018703482794</v>
      </c>
      <c r="E109" s="147">
        <f t="shared" si="7"/>
        <v>2.6276973011325131</v>
      </c>
      <c r="F109" s="165"/>
      <c r="G109" s="1"/>
      <c r="H109" s="272"/>
      <c r="I109" s="272"/>
      <c r="J109" s="272"/>
      <c r="K109" s="272"/>
      <c r="L109" s="272"/>
      <c r="M109" s="272"/>
      <c r="N109" s="272"/>
      <c r="O109" s="272"/>
    </row>
    <row r="110" spans="2:15" x14ac:dyDescent="0.2">
      <c r="B110" s="239">
        <v>2024</v>
      </c>
      <c r="C110" s="323">
        <f t="shared" si="8"/>
        <v>0.51</v>
      </c>
      <c r="D110" s="149">
        <f t="shared" si="6"/>
        <v>6.1960488890517622</v>
      </c>
      <c r="E110" s="147">
        <f t="shared" si="7"/>
        <v>3.159984933416399</v>
      </c>
      <c r="F110" s="165"/>
      <c r="G110" s="1"/>
      <c r="H110" s="272"/>
      <c r="I110" s="272"/>
      <c r="J110" s="272"/>
      <c r="K110" s="272"/>
      <c r="L110" s="272"/>
      <c r="M110" s="272"/>
      <c r="N110" s="272"/>
      <c r="O110" s="272"/>
    </row>
    <row r="111" spans="2:15" x14ac:dyDescent="0.2">
      <c r="B111" s="239">
        <v>2025</v>
      </c>
      <c r="C111" s="323">
        <f t="shared" si="8"/>
        <v>0.59166666666666667</v>
      </c>
      <c r="D111" s="149">
        <f t="shared" si="6"/>
        <v>6.2580093779422796</v>
      </c>
      <c r="E111" s="147">
        <f t="shared" si="7"/>
        <v>3.7026555486158488</v>
      </c>
      <c r="F111" s="165"/>
      <c r="G111" s="1"/>
      <c r="H111" s="272"/>
      <c r="I111" s="272"/>
      <c r="J111" s="272"/>
      <c r="K111" s="272"/>
      <c r="L111" s="272"/>
      <c r="M111" s="272"/>
      <c r="N111" s="272"/>
      <c r="O111" s="272"/>
    </row>
    <row r="112" spans="2:15" x14ac:dyDescent="0.2">
      <c r="B112" s="239">
        <v>2026</v>
      </c>
      <c r="C112" s="323">
        <f t="shared" si="8"/>
        <v>0.67333333333333334</v>
      </c>
      <c r="D112" s="149">
        <f t="shared" si="6"/>
        <v>6.3205894717217026</v>
      </c>
      <c r="E112" s="147">
        <f t="shared" si="7"/>
        <v>4.2558635776259468</v>
      </c>
      <c r="F112" s="165"/>
      <c r="G112" s="1"/>
      <c r="H112" s="272"/>
      <c r="I112" s="272"/>
      <c r="J112" s="272"/>
      <c r="K112" s="272"/>
      <c r="L112" s="272"/>
      <c r="M112" s="272"/>
      <c r="N112" s="272"/>
      <c r="O112" s="272"/>
    </row>
    <row r="113" spans="2:15" ht="12.75" customHeight="1" x14ac:dyDescent="0.2">
      <c r="B113" s="239">
        <v>2027</v>
      </c>
      <c r="C113" s="323">
        <f t="shared" si="8"/>
        <v>0.755</v>
      </c>
      <c r="D113" s="149">
        <f t="shared" si="6"/>
        <v>6.3837953664389193</v>
      </c>
      <c r="E113" s="147">
        <f t="shared" si="7"/>
        <v>4.8197655016613838</v>
      </c>
      <c r="F113" s="165"/>
      <c r="G113" s="1"/>
      <c r="H113" s="272"/>
      <c r="I113" s="272"/>
      <c r="J113" s="272"/>
      <c r="K113" s="272"/>
      <c r="L113" s="272"/>
      <c r="M113" s="272"/>
      <c r="N113" s="272"/>
      <c r="O113" s="272"/>
    </row>
    <row r="114" spans="2:15" x14ac:dyDescent="0.2">
      <c r="B114" s="239">
        <v>2028</v>
      </c>
      <c r="C114" s="323">
        <f t="shared" si="8"/>
        <v>0.83666666666666667</v>
      </c>
      <c r="D114" s="149">
        <f t="shared" si="6"/>
        <v>6.4476333201033089</v>
      </c>
      <c r="E114" s="147">
        <f t="shared" si="7"/>
        <v>5.3945198778197687</v>
      </c>
      <c r="F114" s="165"/>
      <c r="G114" s="1"/>
      <c r="H114" s="272"/>
      <c r="I114" s="272"/>
      <c r="J114" s="272"/>
      <c r="K114" s="272"/>
      <c r="L114" s="272"/>
      <c r="M114" s="272"/>
      <c r="N114" s="272"/>
      <c r="O114" s="272"/>
    </row>
    <row r="115" spans="2:15" x14ac:dyDescent="0.2">
      <c r="B115" s="239">
        <v>2029</v>
      </c>
      <c r="C115" s="323">
        <f t="shared" si="8"/>
        <v>0.91833333333333333</v>
      </c>
      <c r="D115" s="149">
        <f t="shared" si="6"/>
        <v>6.5121096533043419</v>
      </c>
      <c r="E115" s="147">
        <f>D115*C115</f>
        <v>5.9802873649511543</v>
      </c>
      <c r="I115" s="272"/>
      <c r="J115" s="272"/>
      <c r="K115" s="272"/>
      <c r="L115" s="272"/>
      <c r="M115" s="272"/>
      <c r="N115" s="272"/>
      <c r="O115" s="272"/>
    </row>
    <row r="116" spans="2:15" x14ac:dyDescent="0.2">
      <c r="B116" s="239">
        <v>2030</v>
      </c>
      <c r="C116" s="323">
        <v>1</v>
      </c>
      <c r="D116" s="149">
        <f t="shared" si="6"/>
        <v>6.5772307498373852</v>
      </c>
      <c r="E116" s="147">
        <f>D116*C116</f>
        <v>6.5772307498373852</v>
      </c>
      <c r="F116" s="165"/>
      <c r="G116" s="1"/>
      <c r="I116" s="272"/>
      <c r="J116" s="272"/>
      <c r="K116" s="272"/>
      <c r="L116" s="272"/>
      <c r="M116" s="272"/>
      <c r="N116" s="272"/>
      <c r="O116" s="272"/>
    </row>
    <row r="117" spans="2:15" ht="12.75" customHeight="1" x14ac:dyDescent="0.2">
      <c r="F117" s="1"/>
      <c r="I117" s="272"/>
      <c r="J117" s="272"/>
      <c r="K117" s="272"/>
      <c r="L117" s="272"/>
      <c r="M117" s="272"/>
      <c r="N117" s="272"/>
      <c r="O117" s="272"/>
    </row>
    <row r="118" spans="2:15" x14ac:dyDescent="0.2">
      <c r="B118" s="12" t="s">
        <v>216</v>
      </c>
      <c r="C118" s="87"/>
      <c r="D118" s="47"/>
      <c r="E118" s="125"/>
      <c r="F118" s="165"/>
      <c r="G118" s="1"/>
      <c r="H118" s="272"/>
      <c r="I118" s="272"/>
      <c r="J118" s="272"/>
      <c r="K118" s="272"/>
      <c r="L118" s="272"/>
      <c r="M118" s="272"/>
      <c r="N118" s="272"/>
      <c r="O118" s="272"/>
    </row>
    <row r="119" spans="2:15" x14ac:dyDescent="0.2">
      <c r="D119" s="47"/>
      <c r="E119" s="125"/>
      <c r="F119" s="165"/>
      <c r="G119" s="1"/>
      <c r="H119" s="272"/>
      <c r="I119" s="272"/>
      <c r="J119" s="272"/>
      <c r="K119" s="272"/>
      <c r="L119" s="272"/>
      <c r="M119" s="272"/>
      <c r="N119" s="272"/>
      <c r="O119" s="272"/>
    </row>
    <row r="120" spans="2:15" ht="18.75" x14ac:dyDescent="0.2">
      <c r="B120" s="83" t="s">
        <v>336</v>
      </c>
      <c r="C120" s="274" t="s">
        <v>337</v>
      </c>
      <c r="D120" s="47"/>
      <c r="E120" s="125"/>
      <c r="F120" s="165"/>
      <c r="G120" s="1"/>
      <c r="H120" s="272"/>
      <c r="I120" s="272"/>
      <c r="J120" s="272"/>
      <c r="K120" s="272"/>
      <c r="L120" s="272"/>
      <c r="M120" s="272"/>
      <c r="N120" s="272"/>
      <c r="O120" s="272"/>
    </row>
    <row r="121" spans="2:15" x14ac:dyDescent="0.2">
      <c r="B121" s="1"/>
      <c r="C121" s="1"/>
      <c r="D121" s="47"/>
      <c r="E121" s="125"/>
      <c r="F121" s="165"/>
      <c r="G121" s="1"/>
      <c r="H121" s="272"/>
      <c r="I121" s="272"/>
      <c r="J121" s="272"/>
      <c r="K121" s="272"/>
      <c r="L121" s="272"/>
      <c r="M121" s="272"/>
      <c r="N121" s="272"/>
      <c r="O121" s="272"/>
    </row>
    <row r="122" spans="2:15" ht="18" x14ac:dyDescent="0.3">
      <c r="B122" s="83" t="s">
        <v>338</v>
      </c>
      <c r="C122" s="1" t="s">
        <v>339</v>
      </c>
      <c r="D122" s="20"/>
      <c r="E122" s="324"/>
      <c r="F122" s="165"/>
      <c r="G122" s="1"/>
      <c r="H122" s="272"/>
      <c r="I122" s="272"/>
      <c r="J122" s="272"/>
      <c r="K122" s="272"/>
      <c r="L122" s="272"/>
      <c r="M122" s="272"/>
      <c r="N122" s="272"/>
      <c r="O122" s="272"/>
    </row>
    <row r="123" spans="2:15" ht="18.75" x14ac:dyDescent="0.3">
      <c r="B123" s="275" t="s">
        <v>340</v>
      </c>
      <c r="C123" s="1" t="s">
        <v>341</v>
      </c>
      <c r="F123" s="165"/>
      <c r="G123" s="1"/>
      <c r="H123" s="272"/>
      <c r="I123" s="272"/>
      <c r="J123" s="272"/>
      <c r="K123" s="272"/>
      <c r="L123" s="272"/>
      <c r="M123" s="272"/>
      <c r="N123" s="272"/>
      <c r="O123" s="272"/>
    </row>
    <row r="124" spans="2:15" x14ac:dyDescent="0.2">
      <c r="F124" s="165"/>
      <c r="G124" s="1"/>
      <c r="H124" s="272"/>
      <c r="I124" s="272"/>
      <c r="J124" s="272"/>
      <c r="K124" s="272"/>
      <c r="L124" s="272"/>
      <c r="M124" s="272"/>
      <c r="N124" s="272"/>
      <c r="O124" s="272"/>
    </row>
    <row r="125" spans="2:15" ht="31.5" x14ac:dyDescent="0.2">
      <c r="B125" s="316" t="s">
        <v>46</v>
      </c>
      <c r="C125" s="111" t="s">
        <v>342</v>
      </c>
      <c r="D125" s="111" t="s">
        <v>343</v>
      </c>
      <c r="F125" s="165"/>
      <c r="G125" s="1"/>
      <c r="H125" s="272"/>
      <c r="I125" s="272"/>
      <c r="J125" s="272"/>
      <c r="K125" s="272"/>
      <c r="L125" s="272"/>
      <c r="M125" s="272"/>
      <c r="N125" s="272"/>
      <c r="O125" s="272"/>
    </row>
    <row r="126" spans="2:15" ht="13.5" thickBot="1" x14ac:dyDescent="0.25">
      <c r="B126" s="317"/>
      <c r="C126" s="141"/>
      <c r="D126" s="317"/>
      <c r="F126" s="165"/>
      <c r="G126" s="1"/>
      <c r="H126" s="272"/>
      <c r="I126" s="272"/>
      <c r="J126" s="272"/>
      <c r="K126" s="272"/>
      <c r="L126" s="272"/>
      <c r="M126" s="272"/>
      <c r="N126" s="272"/>
      <c r="O126" s="272"/>
    </row>
    <row r="127" spans="2:15" x14ac:dyDescent="0.2">
      <c r="B127" s="318">
        <v>2017</v>
      </c>
      <c r="C127" s="320"/>
      <c r="D127" s="321"/>
      <c r="F127" s="165"/>
      <c r="G127" s="1"/>
      <c r="H127" s="272"/>
      <c r="I127" s="272"/>
      <c r="J127" s="272"/>
      <c r="K127" s="272"/>
      <c r="L127" s="272"/>
      <c r="M127" s="272"/>
      <c r="N127" s="272"/>
      <c r="O127" s="272"/>
    </row>
    <row r="128" spans="2:15" x14ac:dyDescent="0.2">
      <c r="B128" s="239">
        <v>2018</v>
      </c>
      <c r="C128" s="149">
        <f t="shared" ref="C128:C140" si="9">E104</f>
        <v>0.11673916666666667</v>
      </c>
      <c r="D128" s="147">
        <f t="shared" ref="D128:D140" si="10">C128*$C$95</f>
        <v>5.1458624666666675E-2</v>
      </c>
      <c r="F128" s="165"/>
      <c r="G128" s="1"/>
      <c r="H128" s="272"/>
      <c r="I128" s="272"/>
      <c r="J128" s="272"/>
      <c r="K128" s="272"/>
      <c r="L128" s="272"/>
      <c r="M128" s="272"/>
      <c r="N128" s="272"/>
      <c r="O128" s="272"/>
    </row>
    <row r="129" spans="2:15" x14ac:dyDescent="0.2">
      <c r="B129" s="239">
        <v>2019</v>
      </c>
      <c r="C129" s="149">
        <f t="shared" si="9"/>
        <v>0.59935833819444451</v>
      </c>
      <c r="D129" s="147">
        <f t="shared" si="10"/>
        <v>0.26419715547611117</v>
      </c>
      <c r="F129" s="165"/>
      <c r="G129" s="1"/>
      <c r="H129" s="272"/>
      <c r="I129" s="272"/>
      <c r="J129" s="272"/>
      <c r="K129" s="272"/>
      <c r="L129" s="272"/>
      <c r="M129" s="272"/>
      <c r="N129" s="272"/>
      <c r="O129" s="272"/>
    </row>
    <row r="130" spans="2:15" x14ac:dyDescent="0.2">
      <c r="B130" s="239">
        <v>2020</v>
      </c>
      <c r="C130" s="149">
        <f t="shared" si="9"/>
        <v>1.0916182192361112</v>
      </c>
      <c r="D130" s="147">
        <f t="shared" si="10"/>
        <v>0.48118531103927786</v>
      </c>
      <c r="F130" s="165"/>
      <c r="G130" s="1"/>
      <c r="H130" s="272"/>
      <c r="I130" s="272"/>
      <c r="J130" s="272"/>
      <c r="K130" s="272"/>
      <c r="L130" s="272"/>
      <c r="M130" s="272"/>
      <c r="N130" s="272"/>
      <c r="O130" s="272"/>
    </row>
    <row r="131" spans="2:15" x14ac:dyDescent="0.2">
      <c r="B131" s="239">
        <v>2021</v>
      </c>
      <c r="C131" s="149">
        <f t="shared" si="9"/>
        <v>1.5936633620647918</v>
      </c>
      <c r="D131" s="147">
        <f t="shared" si="10"/>
        <v>0.70248680999816027</v>
      </c>
      <c r="F131" s="165"/>
      <c r="G131" s="1"/>
      <c r="H131" s="272"/>
      <c r="I131" s="272"/>
      <c r="J131" s="272"/>
      <c r="K131" s="272"/>
      <c r="L131" s="272"/>
      <c r="M131" s="272"/>
      <c r="N131" s="272"/>
      <c r="O131" s="272"/>
    </row>
    <row r="132" spans="2:15" x14ac:dyDescent="0.2">
      <c r="B132" s="239">
        <v>2022</v>
      </c>
      <c r="C132" s="149">
        <f t="shared" si="9"/>
        <v>2.1056402459281225</v>
      </c>
      <c r="D132" s="147">
        <f t="shared" si="10"/>
        <v>0.92816622040511643</v>
      </c>
      <c r="F132" s="165"/>
      <c r="G132" s="1"/>
      <c r="H132" s="272"/>
      <c r="I132" s="272"/>
      <c r="J132" s="272"/>
      <c r="K132" s="272"/>
      <c r="L132" s="272"/>
      <c r="M132" s="272"/>
      <c r="N132" s="272"/>
      <c r="O132" s="272"/>
    </row>
    <row r="133" spans="2:15" x14ac:dyDescent="0.2">
      <c r="B133" s="239">
        <v>2023</v>
      </c>
      <c r="C133" s="149">
        <f t="shared" si="9"/>
        <v>2.6276973011325131</v>
      </c>
      <c r="D133" s="147">
        <f t="shared" si="10"/>
        <v>1.1582889703392119</v>
      </c>
      <c r="F133" s="165"/>
      <c r="G133" s="1"/>
      <c r="H133" s="272"/>
      <c r="I133" s="272"/>
      <c r="J133" s="272"/>
      <c r="K133" s="272"/>
      <c r="L133" s="272"/>
      <c r="M133" s="272"/>
      <c r="N133" s="272"/>
      <c r="O133" s="272"/>
    </row>
    <row r="134" spans="2:15" x14ac:dyDescent="0.2">
      <c r="B134" s="239">
        <v>2024</v>
      </c>
      <c r="C134" s="149">
        <f t="shared" si="9"/>
        <v>3.159984933416399</v>
      </c>
      <c r="D134" s="147">
        <f t="shared" si="10"/>
        <v>1.3929213586499487</v>
      </c>
      <c r="F134" s="165"/>
      <c r="G134" s="1"/>
      <c r="H134" s="272"/>
      <c r="I134" s="272"/>
      <c r="J134" s="272"/>
      <c r="K134" s="272"/>
      <c r="L134" s="272"/>
      <c r="M134" s="272"/>
      <c r="N134" s="272"/>
      <c r="O134" s="272"/>
    </row>
    <row r="135" spans="2:15" x14ac:dyDescent="0.2">
      <c r="B135" s="239">
        <v>2025</v>
      </c>
      <c r="C135" s="149">
        <f t="shared" si="9"/>
        <v>3.7026555486158488</v>
      </c>
      <c r="D135" s="147">
        <f t="shared" si="10"/>
        <v>1.6321305658298662</v>
      </c>
      <c r="F135" s="165"/>
      <c r="G135" s="1"/>
      <c r="H135" s="272"/>
      <c r="I135" s="272"/>
      <c r="J135" s="272"/>
      <c r="K135" s="272"/>
      <c r="L135" s="272"/>
      <c r="M135" s="272"/>
      <c r="N135" s="272"/>
      <c r="O135" s="272"/>
    </row>
    <row r="136" spans="2:15" x14ac:dyDescent="0.2">
      <c r="B136" s="239">
        <v>2026</v>
      </c>
      <c r="C136" s="149">
        <f t="shared" si="9"/>
        <v>4.2558635776259468</v>
      </c>
      <c r="D136" s="147">
        <f t="shared" si="10"/>
        <v>1.8759846650175174</v>
      </c>
      <c r="F136" s="165"/>
      <c r="G136" s="1"/>
      <c r="H136" s="272"/>
      <c r="I136" s="272"/>
      <c r="J136" s="272"/>
      <c r="K136" s="272"/>
      <c r="L136" s="272"/>
      <c r="M136" s="272"/>
      <c r="N136" s="272"/>
      <c r="O136" s="272"/>
    </row>
    <row r="137" spans="2:15" ht="12.75" customHeight="1" x14ac:dyDescent="0.2">
      <c r="B137" s="239">
        <v>2027</v>
      </c>
      <c r="C137" s="149">
        <f t="shared" si="9"/>
        <v>4.8197655016613838</v>
      </c>
      <c r="D137" s="147">
        <f t="shared" si="10"/>
        <v>2.1245526331323381</v>
      </c>
      <c r="F137" s="165"/>
      <c r="G137" s="1"/>
      <c r="H137" s="272"/>
      <c r="I137" s="272"/>
      <c r="J137" s="272"/>
      <c r="K137" s="272"/>
      <c r="L137" s="272"/>
      <c r="M137" s="272"/>
      <c r="N137" s="272"/>
      <c r="O137" s="272"/>
    </row>
    <row r="138" spans="2:15" x14ac:dyDescent="0.2">
      <c r="B138" s="239">
        <v>2028</v>
      </c>
      <c r="C138" s="149">
        <f t="shared" si="9"/>
        <v>5.3945198778197687</v>
      </c>
      <c r="D138" s="147">
        <f t="shared" si="10"/>
        <v>2.3779043621429543</v>
      </c>
      <c r="F138" s="165"/>
      <c r="G138" s="1"/>
      <c r="H138" s="272"/>
      <c r="I138" s="272"/>
      <c r="J138" s="272"/>
      <c r="K138" s="272"/>
      <c r="L138" s="272"/>
      <c r="M138" s="272"/>
      <c r="N138" s="272"/>
      <c r="O138" s="272"/>
    </row>
    <row r="139" spans="2:15" x14ac:dyDescent="0.2">
      <c r="B139" s="239">
        <v>2029</v>
      </c>
      <c r="C139" s="149">
        <f t="shared" si="9"/>
        <v>5.9802873649511543</v>
      </c>
      <c r="D139" s="147">
        <f t="shared" si="10"/>
        <v>2.6361106704704689</v>
      </c>
      <c r="F139" s="165"/>
      <c r="G139" s="1"/>
      <c r="H139" s="272"/>
      <c r="I139" s="272"/>
      <c r="J139" s="272"/>
      <c r="K139" s="272"/>
      <c r="L139" s="272"/>
      <c r="M139" s="272"/>
      <c r="N139" s="272"/>
      <c r="O139" s="272"/>
    </row>
    <row r="140" spans="2:15" x14ac:dyDescent="0.2">
      <c r="B140" s="239">
        <v>2030</v>
      </c>
      <c r="C140" s="149">
        <f t="shared" si="9"/>
        <v>6.5772307498373852</v>
      </c>
      <c r="D140" s="147">
        <f t="shared" si="10"/>
        <v>2.8992433145283196</v>
      </c>
      <c r="E140" s="325"/>
      <c r="F140" s="165"/>
      <c r="G140" s="1"/>
      <c r="H140" s="272"/>
      <c r="I140" s="272"/>
      <c r="J140" s="272"/>
      <c r="K140" s="272"/>
      <c r="L140" s="272"/>
      <c r="M140" s="272"/>
      <c r="N140" s="272"/>
      <c r="O140" s="272"/>
    </row>
    <row r="141" spans="2:15" ht="12.75" customHeight="1" x14ac:dyDescent="0.2">
      <c r="C141" s="165">
        <f>SUM(C127:C140)</f>
        <v>42.025024187150535</v>
      </c>
      <c r="D141" s="165">
        <f>SUM(D127:D140)</f>
        <v>18.524630661695955</v>
      </c>
      <c r="E141" s="159"/>
      <c r="F141" s="165"/>
      <c r="G141" s="1"/>
      <c r="H141" s="272"/>
      <c r="I141" s="272"/>
      <c r="J141" s="272"/>
      <c r="K141" s="272"/>
      <c r="L141" s="272"/>
      <c r="M141" s="272"/>
      <c r="N141" s="272"/>
      <c r="O141" s="272"/>
    </row>
    <row r="142" spans="2:15" ht="15.75" customHeight="1" x14ac:dyDescent="0.2">
      <c r="B142" s="1"/>
      <c r="C142" s="159">
        <f>AVERAGE(C127:C140)</f>
        <v>3.2326941682423489</v>
      </c>
      <c r="D142" s="159">
        <f>AVERAGE(D127:D140)</f>
        <v>1.4249715893612274</v>
      </c>
      <c r="E142" s="1"/>
      <c r="F142" s="1"/>
      <c r="G142" s="1"/>
      <c r="H142" s="272"/>
      <c r="I142" s="272"/>
      <c r="J142" s="272"/>
      <c r="K142" s="272"/>
      <c r="L142" s="272"/>
      <c r="M142" s="272"/>
      <c r="N142" s="272"/>
      <c r="O142" s="272"/>
    </row>
    <row r="143" spans="2:15" x14ac:dyDescent="0.2">
      <c r="B143" s="1" t="s">
        <v>114</v>
      </c>
      <c r="C143" s="1"/>
      <c r="D143" s="1"/>
      <c r="E143" s="1"/>
      <c r="F143" s="1"/>
      <c r="G143" s="272"/>
      <c r="H143" s="272"/>
      <c r="I143" s="272"/>
      <c r="J143" s="272"/>
      <c r="K143" s="272"/>
      <c r="L143" s="272"/>
      <c r="M143" s="272"/>
      <c r="N143" s="272"/>
      <c r="O143" s="272"/>
    </row>
    <row r="144" spans="2:15" x14ac:dyDescent="0.2">
      <c r="B144" s="1"/>
      <c r="C144" s="1"/>
      <c r="D144" s="1"/>
      <c r="E144" s="1"/>
      <c r="F144" s="1"/>
      <c r="G144" s="272"/>
      <c r="H144" s="272"/>
      <c r="I144" s="272"/>
      <c r="J144" s="272"/>
      <c r="K144" s="272"/>
      <c r="L144" s="272"/>
      <c r="M144" s="272"/>
      <c r="N144" s="272"/>
      <c r="O144" s="272"/>
    </row>
    <row r="145" spans="2:15" ht="16.5" x14ac:dyDescent="0.3">
      <c r="B145" s="93" t="s">
        <v>115</v>
      </c>
      <c r="C145" s="1"/>
      <c r="D145" s="1"/>
      <c r="E145" s="1"/>
      <c r="F145" s="1"/>
      <c r="G145" s="272"/>
      <c r="H145" s="272"/>
      <c r="I145" s="272"/>
      <c r="J145" s="272"/>
      <c r="K145" s="272"/>
      <c r="L145" s="272"/>
      <c r="M145" s="272"/>
      <c r="N145" s="272"/>
      <c r="O145" s="272"/>
    </row>
    <row r="146" spans="2:15" x14ac:dyDescent="0.2">
      <c r="B146" s="182" t="s">
        <v>250</v>
      </c>
      <c r="C146" s="182"/>
      <c r="D146" s="182"/>
      <c r="E146" s="182"/>
      <c r="F146" s="1"/>
      <c r="G146" s="182" t="s">
        <v>251</v>
      </c>
      <c r="H146" s="182"/>
      <c r="I146" s="182"/>
      <c r="J146" s="277"/>
      <c r="K146" s="272"/>
      <c r="L146" s="272"/>
      <c r="M146" s="272"/>
      <c r="N146" s="272"/>
      <c r="O146" s="272"/>
    </row>
    <row r="147" spans="2:15" ht="28.5" x14ac:dyDescent="0.2">
      <c r="B147" s="326" t="s">
        <v>67</v>
      </c>
      <c r="C147" s="185" t="s">
        <v>252</v>
      </c>
      <c r="D147" s="185" t="s">
        <v>253</v>
      </c>
      <c r="E147" s="186" t="s">
        <v>68</v>
      </c>
      <c r="F147" s="1"/>
      <c r="G147" s="187" t="s">
        <v>252</v>
      </c>
      <c r="H147" s="185" t="s">
        <v>253</v>
      </c>
      <c r="I147" s="186" t="s">
        <v>68</v>
      </c>
      <c r="J147" s="279"/>
      <c r="K147" s="272"/>
      <c r="L147" s="272"/>
      <c r="M147" s="272"/>
      <c r="N147" s="272"/>
      <c r="O147" s="272"/>
    </row>
    <row r="148" spans="2:15" ht="51.75" thickBot="1" x14ac:dyDescent="0.25">
      <c r="B148" s="327"/>
      <c r="C148" s="189" t="s">
        <v>254</v>
      </c>
      <c r="D148" s="190" t="s">
        <v>255</v>
      </c>
      <c r="E148" s="189" t="s">
        <v>69</v>
      </c>
      <c r="F148" s="1"/>
      <c r="G148" s="191" t="s">
        <v>256</v>
      </c>
      <c r="H148" s="189" t="s">
        <v>257</v>
      </c>
      <c r="I148" s="192" t="s">
        <v>69</v>
      </c>
      <c r="K148" s="272"/>
      <c r="L148" s="272"/>
      <c r="M148" s="272"/>
      <c r="N148" s="272"/>
      <c r="O148" s="272"/>
    </row>
    <row r="149" spans="2:15" x14ac:dyDescent="0.2">
      <c r="B149" s="193">
        <v>2017</v>
      </c>
      <c r="C149" s="328"/>
      <c r="D149" s="328"/>
      <c r="E149" s="329"/>
      <c r="F149" s="272"/>
      <c r="G149" s="328"/>
      <c r="H149" s="330"/>
      <c r="I149" s="329"/>
      <c r="K149" s="272"/>
      <c r="L149" s="272"/>
      <c r="O149" s="272"/>
    </row>
    <row r="150" spans="2:15" x14ac:dyDescent="0.2">
      <c r="B150" s="197">
        <v>2018</v>
      </c>
      <c r="C150" s="331">
        <f t="shared" ref="C150:C162" si="11">G150-C128/Mwh_TJ</f>
        <v>6.7143229855376338E-2</v>
      </c>
      <c r="D150" s="332">
        <f t="shared" ref="D150:D162" si="12">(C150*Mwh_TJ)*$C$95/1000</f>
        <v>8.2213154844242454E-3</v>
      </c>
      <c r="E150" s="333"/>
      <c r="F150" s="272"/>
      <c r="G150" s="331">
        <f>(($F$16*$G$16+$F$17*$G$17+$F$18*$G$18)*$E$81*365/1000000/Mwh_TJ)/(1-$F$88)*(1+$C$94)^(B150-B149)</f>
        <v>6.7563490855040126E-2</v>
      </c>
      <c r="H150" s="332">
        <f t="shared" ref="H150:H162" si="13">(G150*Mwh_TJ)*$C$95/1000</f>
        <v>8.27277410909091E-3</v>
      </c>
      <c r="I150" s="334"/>
      <c r="K150" s="272"/>
      <c r="L150" s="272"/>
      <c r="O150" s="272"/>
    </row>
    <row r="151" spans="2:15" x14ac:dyDescent="0.2">
      <c r="B151" s="197">
        <v>2019</v>
      </c>
      <c r="C151" s="331">
        <f t="shared" si="11"/>
        <v>6.6081435747816678E-2</v>
      </c>
      <c r="D151" s="332">
        <f t="shared" si="12"/>
        <v>8.0913046947057084E-3</v>
      </c>
      <c r="E151" s="333"/>
      <c r="F151" s="272"/>
      <c r="G151" s="331">
        <f t="shared" ref="G151:G162" si="14">G150*(1+$C$94)</f>
        <v>6.8239125763590522E-2</v>
      </c>
      <c r="H151" s="332">
        <f t="shared" si="13"/>
        <v>8.3555018501818203E-3</v>
      </c>
      <c r="I151" s="334"/>
      <c r="K151" s="272"/>
      <c r="L151" s="272"/>
      <c r="O151" s="272"/>
    </row>
    <row r="152" spans="2:15" x14ac:dyDescent="0.2">
      <c r="B152" s="197">
        <v>2020</v>
      </c>
      <c r="C152" s="331">
        <f t="shared" si="11"/>
        <v>6.4991691435120291E-2</v>
      </c>
      <c r="D152" s="332">
        <f t="shared" si="12"/>
        <v>7.9578715576443613E-3</v>
      </c>
      <c r="E152" s="333"/>
      <c r="F152" s="272"/>
      <c r="G152" s="331">
        <f t="shared" si="14"/>
        <v>6.8921517021226425E-2</v>
      </c>
      <c r="H152" s="332">
        <f t="shared" si="13"/>
        <v>8.4390568686836375E-3</v>
      </c>
      <c r="I152" s="334"/>
      <c r="K152" s="277"/>
      <c r="L152" s="277"/>
      <c r="O152" s="272"/>
    </row>
    <row r="153" spans="2:15" x14ac:dyDescent="0.2">
      <c r="B153" s="197">
        <v>2021</v>
      </c>
      <c r="C153" s="331">
        <f t="shared" si="11"/>
        <v>6.38735440925952E-2</v>
      </c>
      <c r="D153" s="332">
        <f t="shared" si="12"/>
        <v>7.8209606273723139E-3</v>
      </c>
      <c r="E153" s="333"/>
      <c r="F153" s="272"/>
      <c r="G153" s="331">
        <f t="shared" si="14"/>
        <v>6.9610732191438693E-2</v>
      </c>
      <c r="H153" s="332">
        <f t="shared" si="13"/>
        <v>8.5234474373704749E-3</v>
      </c>
      <c r="I153" s="334"/>
      <c r="K153" s="279"/>
      <c r="L153" s="279"/>
      <c r="O153" s="272"/>
    </row>
    <row r="154" spans="2:15" x14ac:dyDescent="0.2">
      <c r="B154" s="197">
        <v>2022</v>
      </c>
      <c r="C154" s="331">
        <f t="shared" si="11"/>
        <v>6.2726534634076084E-2</v>
      </c>
      <c r="D154" s="332">
        <f t="shared" si="12"/>
        <v>7.680515691339063E-3</v>
      </c>
      <c r="E154" s="333"/>
      <c r="F154" s="272"/>
      <c r="G154" s="331">
        <f t="shared" si="14"/>
        <v>7.0306839513353078E-2</v>
      </c>
      <c r="H154" s="332">
        <f t="shared" si="13"/>
        <v>8.6086819117441801E-3</v>
      </c>
      <c r="I154" s="334"/>
      <c r="O154" s="272"/>
    </row>
    <row r="155" spans="2:15" x14ac:dyDescent="0.2">
      <c r="B155" s="197">
        <v>2023</v>
      </c>
      <c r="C155" s="331">
        <f t="shared" si="11"/>
        <v>6.1550197631977339E-2</v>
      </c>
      <c r="D155" s="332">
        <f t="shared" si="12"/>
        <v>7.5364797605224102E-3</v>
      </c>
      <c r="E155" s="333"/>
      <c r="F155" s="272"/>
      <c r="G155" s="331">
        <f t="shared" si="14"/>
        <v>7.1009907908486616E-2</v>
      </c>
      <c r="H155" s="332">
        <f t="shared" si="13"/>
        <v>8.6947687308616215E-3</v>
      </c>
      <c r="I155" s="334"/>
      <c r="O155" s="272"/>
    </row>
    <row r="156" spans="2:15" x14ac:dyDescent="0.2">
      <c r="B156" s="197">
        <v>2024</v>
      </c>
      <c r="C156" s="331">
        <f t="shared" si="11"/>
        <v>6.0344061236373203E-2</v>
      </c>
      <c r="D156" s="332">
        <f t="shared" si="12"/>
        <v>7.388795059520289E-3</v>
      </c>
      <c r="E156" s="333"/>
      <c r="F156" s="272"/>
      <c r="G156" s="331">
        <f t="shared" si="14"/>
        <v>7.1720006987571486E-2</v>
      </c>
      <c r="H156" s="332">
        <f t="shared" si="13"/>
        <v>8.7817164181702382E-3</v>
      </c>
      <c r="I156" s="334"/>
      <c r="O156" s="272"/>
    </row>
    <row r="157" spans="2:15" x14ac:dyDescent="0.2">
      <c r="B157" s="197">
        <v>2025</v>
      </c>
      <c r="C157" s="331">
        <f t="shared" si="11"/>
        <v>5.9107647093093796E-2</v>
      </c>
      <c r="D157" s="332">
        <f t="shared" si="12"/>
        <v>7.2374030165220753E-3</v>
      </c>
      <c r="E157" s="333"/>
      <c r="F157" s="272"/>
      <c r="G157" s="331">
        <f t="shared" si="14"/>
        <v>7.2437207057447203E-2</v>
      </c>
      <c r="H157" s="332">
        <f t="shared" si="13"/>
        <v>8.8695335823519399E-3</v>
      </c>
      <c r="I157" s="334"/>
    </row>
    <row r="158" spans="2:15" x14ac:dyDescent="0.2">
      <c r="B158" s="197">
        <v>2026</v>
      </c>
      <c r="C158" s="331">
        <f t="shared" si="11"/>
        <v>5.7840470260825158E-2</v>
      </c>
      <c r="D158" s="332">
        <f t="shared" si="12"/>
        <v>7.0822442531579431E-3</v>
      </c>
      <c r="E158" s="333"/>
      <c r="F158" s="272"/>
      <c r="G158" s="331">
        <f t="shared" si="14"/>
        <v>7.3161579128021681E-2</v>
      </c>
      <c r="H158" s="332">
        <f t="shared" si="13"/>
        <v>8.9582289181754614E-3</v>
      </c>
      <c r="I158" s="334"/>
    </row>
    <row r="159" spans="2:15" x14ac:dyDescent="0.2">
      <c r="B159" s="197">
        <v>2027</v>
      </c>
      <c r="C159" s="331">
        <f t="shared" si="11"/>
        <v>5.6542039127201835E-2</v>
      </c>
      <c r="D159" s="332">
        <f t="shared" si="12"/>
        <v>6.9232585742248758E-3</v>
      </c>
      <c r="E159" s="333"/>
      <c r="F159" s="272"/>
      <c r="G159" s="331">
        <f t="shared" si="14"/>
        <v>7.3893194919301894E-2</v>
      </c>
      <c r="H159" s="332">
        <f t="shared" si="13"/>
        <v>9.0478112073572158E-3</v>
      </c>
      <c r="I159" s="334"/>
    </row>
    <row r="160" spans="2:15" x14ac:dyDescent="0.2">
      <c r="B160" s="197">
        <v>2028</v>
      </c>
      <c r="C160" s="331">
        <f t="shared" si="11"/>
        <v>5.5211855323879955E-2</v>
      </c>
      <c r="D160" s="332">
        <f t="shared" si="12"/>
        <v>6.7603849572878327E-3</v>
      </c>
      <c r="E160" s="333"/>
      <c r="F160" s="272"/>
      <c r="G160" s="331">
        <f t="shared" si="14"/>
        <v>7.4632126868494908E-2</v>
      </c>
      <c r="H160" s="332">
        <f t="shared" si="13"/>
        <v>9.1382893194307865E-3</v>
      </c>
      <c r="I160" s="334"/>
    </row>
    <row r="161" spans="2:9" x14ac:dyDescent="0.2">
      <c r="B161" s="197">
        <v>2029</v>
      </c>
      <c r="C161" s="331">
        <f t="shared" si="11"/>
        <v>5.3849413640578922E-2</v>
      </c>
      <c r="D161" s="332">
        <f t="shared" si="12"/>
        <v>6.5935615421546245E-3</v>
      </c>
      <c r="E161" s="333"/>
      <c r="F161" s="272"/>
      <c r="G161" s="331">
        <f t="shared" si="14"/>
        <v>7.5378448137179851E-2</v>
      </c>
      <c r="H161" s="332">
        <f t="shared" si="13"/>
        <v>9.2296722126250959E-3</v>
      </c>
      <c r="I161" s="334"/>
    </row>
    <row r="162" spans="2:9" ht="13.5" thickBot="1" x14ac:dyDescent="0.25">
      <c r="B162" s="205">
        <v>2030</v>
      </c>
      <c r="C162" s="331">
        <f t="shared" si="11"/>
        <v>5.2454201938079488E-2</v>
      </c>
      <c r="D162" s="332">
        <f t="shared" si="12"/>
        <v>6.4227256202230246E-3</v>
      </c>
      <c r="E162" s="335"/>
      <c r="F162" s="277"/>
      <c r="G162" s="331">
        <f t="shared" si="14"/>
        <v>7.6132232618551648E-2</v>
      </c>
      <c r="H162" s="332">
        <f t="shared" si="13"/>
        <v>9.321968934751344E-3</v>
      </c>
      <c r="I162" s="336"/>
    </row>
    <row r="163" spans="2:9" ht="17.25" thickBot="1" x14ac:dyDescent="0.35">
      <c r="B163" s="208" t="s">
        <v>70</v>
      </c>
      <c r="C163" s="212">
        <f>SUM(C149:C162)</f>
        <v>0.78171632201699426</v>
      </c>
      <c r="D163" s="212">
        <f>SUM(D149:D162)</f>
        <v>9.5716820839098757E-2</v>
      </c>
      <c r="E163" s="210"/>
      <c r="F163" s="279"/>
      <c r="G163" s="209">
        <f>SUM(G149:G162)</f>
        <v>0.93300640896970399</v>
      </c>
      <c r="H163" s="212">
        <f>SUM(H149:H162)</f>
        <v>0.11424145150079472</v>
      </c>
      <c r="I163" s="33"/>
    </row>
    <row r="167" spans="2:9" ht="29.25" thickBot="1" x14ac:dyDescent="0.25">
      <c r="B167" s="213" t="s">
        <v>42</v>
      </c>
      <c r="C167" s="214" t="s">
        <v>258</v>
      </c>
    </row>
    <row r="168" spans="2:9" x14ac:dyDescent="0.2">
      <c r="B168" s="215">
        <v>2018</v>
      </c>
      <c r="C168" s="337">
        <f>H150-D150</f>
        <v>5.1458624666664635E-5</v>
      </c>
    </row>
    <row r="169" spans="2:9" x14ac:dyDescent="0.2">
      <c r="B169" s="218">
        <v>2019</v>
      </c>
      <c r="C169" s="337">
        <f t="shared" ref="C169:C181" si="15">H151-D151</f>
        <v>2.6419715547611189E-4</v>
      </c>
    </row>
    <row r="170" spans="2:9" x14ac:dyDescent="0.2">
      <c r="B170" s="218">
        <v>2020</v>
      </c>
      <c r="C170" s="337">
        <f t="shared" si="15"/>
        <v>4.8118531103927623E-4</v>
      </c>
    </row>
    <row r="171" spans="2:9" x14ac:dyDescent="0.2">
      <c r="B171" s="218">
        <v>2021</v>
      </c>
      <c r="C171" s="337">
        <f t="shared" si="15"/>
        <v>7.0248680999816099E-4</v>
      </c>
    </row>
    <row r="172" spans="2:9" x14ac:dyDescent="0.2">
      <c r="B172" s="218">
        <v>2022</v>
      </c>
      <c r="C172" s="337">
        <f t="shared" si="15"/>
        <v>9.2816622040511713E-4</v>
      </c>
    </row>
    <row r="173" spans="2:9" x14ac:dyDescent="0.2">
      <c r="B173" s="218">
        <v>2023</v>
      </c>
      <c r="C173" s="337">
        <f t="shared" si="15"/>
        <v>1.1582889703392113E-3</v>
      </c>
    </row>
    <row r="174" spans="2:9" x14ac:dyDescent="0.2">
      <c r="B174" s="218">
        <v>2024</v>
      </c>
      <c r="C174" s="337">
        <f t="shared" si="15"/>
        <v>1.3929213586499492E-3</v>
      </c>
    </row>
    <row r="175" spans="2:9" x14ac:dyDescent="0.2">
      <c r="B175" s="218">
        <v>2025</v>
      </c>
      <c r="C175" s="337">
        <f t="shared" si="15"/>
        <v>1.6321305658298646E-3</v>
      </c>
    </row>
    <row r="176" spans="2:9" x14ac:dyDescent="0.2">
      <c r="B176" s="218">
        <v>2026</v>
      </c>
      <c r="C176" s="337">
        <f t="shared" si="15"/>
        <v>1.8759846650175183E-3</v>
      </c>
    </row>
    <row r="177" spans="2:4" x14ac:dyDescent="0.2">
      <c r="B177" s="218">
        <v>2027</v>
      </c>
      <c r="C177" s="337">
        <f t="shared" si="15"/>
        <v>2.12455263313234E-3</v>
      </c>
    </row>
    <row r="178" spans="2:4" x14ac:dyDescent="0.2">
      <c r="B178" s="218">
        <v>2028</v>
      </c>
      <c r="C178" s="337">
        <f t="shared" si="15"/>
        <v>2.3779043621429538E-3</v>
      </c>
    </row>
    <row r="179" spans="2:4" x14ac:dyDescent="0.2">
      <c r="B179" s="218">
        <v>2029</v>
      </c>
      <c r="C179" s="337">
        <f t="shared" si="15"/>
        <v>2.6361106704704713E-3</v>
      </c>
    </row>
    <row r="180" spans="2:4" x14ac:dyDescent="0.2">
      <c r="B180" s="218">
        <v>2030</v>
      </c>
      <c r="C180" s="337">
        <f t="shared" si="15"/>
        <v>2.8992433145283193E-3</v>
      </c>
    </row>
    <row r="181" spans="2:4" x14ac:dyDescent="0.2">
      <c r="B181" s="221" t="s">
        <v>71</v>
      </c>
      <c r="C181" s="337">
        <f t="shared" si="15"/>
        <v>1.8524630661695962E-2</v>
      </c>
      <c r="D181" s="92" t="s">
        <v>116</v>
      </c>
    </row>
    <row r="182" spans="2:4" x14ac:dyDescent="0.2">
      <c r="B182" s="223" t="s">
        <v>72</v>
      </c>
      <c r="C182" s="338">
        <f>AVERAGE(C168:C180)</f>
        <v>1.4249715893612275E-3</v>
      </c>
    </row>
    <row r="185" spans="2:4" ht="15.75" x14ac:dyDescent="0.2">
      <c r="B185" s="225" t="s">
        <v>344</v>
      </c>
      <c r="C185" s="226">
        <f>(S62-S63)/C181</f>
        <v>296.49183586168954</v>
      </c>
    </row>
  </sheetData>
  <mergeCells count="25">
    <mergeCell ref="B8:B9"/>
    <mergeCell ref="C8:D9"/>
    <mergeCell ref="E8:E9"/>
    <mergeCell ref="F8:F9"/>
    <mergeCell ref="G8:H9"/>
    <mergeCell ref="R31:R32"/>
    <mergeCell ref="T31:T32"/>
    <mergeCell ref="U31:U32"/>
    <mergeCell ref="T63:U63"/>
    <mergeCell ref="B10:B11"/>
    <mergeCell ref="C10:D11"/>
    <mergeCell ref="E10:E11"/>
    <mergeCell ref="F10:F11"/>
    <mergeCell ref="G10:H11"/>
    <mergeCell ref="C25:I25"/>
    <mergeCell ref="B26:B27"/>
    <mergeCell ref="C26:I27"/>
    <mergeCell ref="B28:B30"/>
    <mergeCell ref="C28:I30"/>
    <mergeCell ref="C31:I31"/>
    <mergeCell ref="W31:W32"/>
    <mergeCell ref="X31:X32"/>
    <mergeCell ref="Y31:Y32"/>
    <mergeCell ref="S31:S32"/>
    <mergeCell ref="T62:U62"/>
  </mergeCells>
  <pageMargins left="0.7" right="0.7" top="0.75" bottom="0.75" header="0.3" footer="0.3"/>
  <pageSetup paperSize="9" scale="1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2:AM103"/>
  <sheetViews>
    <sheetView showGridLines="0" topLeftCell="A64" zoomScaleNormal="100" workbookViewId="0">
      <selection activeCell="G12" sqref="G12"/>
    </sheetView>
  </sheetViews>
  <sheetFormatPr defaultColWidth="11.42578125" defaultRowHeight="12.75" x14ac:dyDescent="0.2"/>
  <cols>
    <col min="1" max="1" width="4.42578125" style="1" customWidth="1"/>
    <col min="2" max="2" width="25.140625" style="92" customWidth="1"/>
    <col min="3" max="3" width="26.140625" style="92" customWidth="1"/>
    <col min="4" max="4" width="27.85546875" style="92" customWidth="1"/>
    <col min="5" max="5" width="29.5703125" style="92" customWidth="1"/>
    <col min="6" max="6" width="36.5703125" style="92" customWidth="1"/>
    <col min="7" max="7" width="27.42578125" style="92" customWidth="1"/>
    <col min="8" max="8" width="21.42578125" style="92" customWidth="1"/>
    <col min="9" max="9" width="22.85546875" style="92" customWidth="1"/>
    <col min="10" max="10" width="4.7109375" style="92" customWidth="1"/>
    <col min="11" max="11" width="5.140625" style="18" customWidth="1"/>
    <col min="12" max="12" width="5.140625" style="92" customWidth="1"/>
    <col min="13" max="13" width="28.5703125" style="92" customWidth="1"/>
    <col min="14" max="14" width="28" style="92" customWidth="1"/>
    <col min="15" max="15" width="24.140625" style="92" customWidth="1"/>
    <col min="16" max="16" width="30.140625" style="92" customWidth="1"/>
    <col min="17" max="17" width="22.42578125" style="92" customWidth="1"/>
    <col min="18" max="18" width="16" style="92" customWidth="1"/>
    <col min="19" max="19" width="22.5703125" style="92" bestFit="1" customWidth="1"/>
    <col min="20" max="20" width="8.85546875" style="92" bestFit="1" customWidth="1"/>
    <col min="21" max="21" width="13.42578125" style="92" customWidth="1"/>
    <col min="22" max="22" width="32.7109375" style="92" customWidth="1"/>
    <col min="23" max="23" width="51.85546875" style="92" customWidth="1"/>
    <col min="24" max="24" width="2.7109375" style="20" customWidth="1"/>
    <col min="25" max="25" width="23.42578125" style="92" customWidth="1"/>
    <col min="26" max="26" width="42.140625" style="92" customWidth="1"/>
    <col min="27" max="27" width="71.42578125" style="92" customWidth="1"/>
    <col min="28" max="28" width="10.85546875" style="1" customWidth="1"/>
    <col min="29" max="29" width="44.42578125" style="92" customWidth="1"/>
    <col min="30" max="30" width="27" style="92" customWidth="1"/>
    <col min="31" max="31" width="23.140625" style="92" customWidth="1"/>
    <col min="32" max="32" width="20.7109375" style="1" customWidth="1"/>
    <col min="33" max="33" width="52" style="92" customWidth="1"/>
    <col min="34" max="34" width="17" style="1" customWidth="1"/>
    <col min="35" max="35" width="53.7109375" style="1" customWidth="1"/>
    <col min="36" max="38" width="11.42578125" style="1"/>
    <col min="39" max="16384" width="11.42578125" style="92"/>
  </cols>
  <sheetData>
    <row r="2" spans="2:35" s="1" customFormat="1" ht="16.5" x14ac:dyDescent="0.3">
      <c r="B2" s="93" t="s">
        <v>364</v>
      </c>
      <c r="K2" s="18"/>
      <c r="X2" s="20"/>
    </row>
    <row r="3" spans="2:35" s="1" customFormat="1" ht="15" customHeight="1" x14ac:dyDescent="0.3">
      <c r="B3" s="93"/>
      <c r="K3" s="18"/>
      <c r="X3" s="20"/>
    </row>
    <row r="4" spans="2:35" s="1" customFormat="1" ht="15" customHeight="1" x14ac:dyDescent="0.3">
      <c r="B4" s="9" t="s">
        <v>29</v>
      </c>
      <c r="C4" s="9"/>
      <c r="D4" s="9"/>
      <c r="E4" s="9"/>
      <c r="F4" s="9"/>
      <c r="G4" s="9"/>
      <c r="H4" s="9"/>
      <c r="I4" s="228"/>
      <c r="J4" s="228"/>
      <c r="K4" s="229"/>
      <c r="L4" s="228"/>
      <c r="M4" s="9" t="s">
        <v>86</v>
      </c>
      <c r="N4" s="10"/>
      <c r="O4" s="10"/>
      <c r="P4" s="10"/>
      <c r="Q4" s="10"/>
      <c r="R4" s="9"/>
      <c r="S4" s="9"/>
      <c r="T4" s="9"/>
      <c r="U4" s="10"/>
      <c r="V4" s="10"/>
      <c r="W4" s="10"/>
      <c r="X4" s="10"/>
      <c r="Y4" s="10"/>
      <c r="AB4" s="20"/>
    </row>
    <row r="5" spans="2:35" s="1" customFormat="1" ht="15" customHeight="1" x14ac:dyDescent="0.2">
      <c r="B5" s="230"/>
      <c r="C5" s="231"/>
      <c r="K5" s="18"/>
      <c r="X5" s="20"/>
    </row>
    <row r="6" spans="2:35" s="1" customFormat="1" ht="15" customHeight="1" x14ac:dyDescent="0.2">
      <c r="B6" s="12" t="s">
        <v>208</v>
      </c>
      <c r="C6" s="231"/>
      <c r="K6" s="18"/>
      <c r="M6" s="13" t="s">
        <v>209</v>
      </c>
      <c r="X6" s="20"/>
      <c r="AB6" s="20"/>
      <c r="AC6" s="20"/>
    </row>
    <row r="7" spans="2:35" s="1" customFormat="1" ht="22.5" customHeight="1" x14ac:dyDescent="0.2">
      <c r="K7" s="97"/>
      <c r="L7" s="98"/>
      <c r="M7" s="232" t="s">
        <v>87</v>
      </c>
      <c r="N7" s="98"/>
      <c r="O7" s="98"/>
      <c r="P7" s="98"/>
      <c r="Q7" s="98"/>
      <c r="R7" s="98"/>
      <c r="S7" s="98"/>
      <c r="T7" s="101"/>
      <c r="X7" s="101"/>
      <c r="AB7" s="101"/>
      <c r="AH7" s="233"/>
      <c r="AI7" s="233"/>
    </row>
    <row r="8" spans="2:35" s="1" customFormat="1" ht="40.5" x14ac:dyDescent="0.2">
      <c r="B8" s="387" t="s">
        <v>32</v>
      </c>
      <c r="C8" s="383" t="s">
        <v>33</v>
      </c>
      <c r="D8" s="384"/>
      <c r="E8" s="387" t="s">
        <v>34</v>
      </c>
      <c r="F8" s="465" t="s">
        <v>35</v>
      </c>
      <c r="G8" s="383" t="s">
        <v>36</v>
      </c>
      <c r="H8" s="384"/>
      <c r="I8" s="98"/>
      <c r="J8" s="98"/>
      <c r="K8" s="97"/>
      <c r="L8" s="98"/>
      <c r="M8" s="34"/>
      <c r="N8" s="234" t="s">
        <v>259</v>
      </c>
      <c r="O8" s="234" t="s">
        <v>260</v>
      </c>
      <c r="P8" s="235" t="s">
        <v>261</v>
      </c>
      <c r="Q8" s="234" t="s">
        <v>262</v>
      </c>
      <c r="R8" s="95" t="s">
        <v>263</v>
      </c>
      <c r="S8" s="96">
        <v>3.2469999999999999</v>
      </c>
      <c r="T8" s="101"/>
      <c r="X8" s="101"/>
      <c r="AB8" s="101"/>
      <c r="AH8" s="233"/>
      <c r="AI8" s="233"/>
    </row>
    <row r="9" spans="2:35" s="1" customFormat="1" ht="15.75" thickBot="1" x14ac:dyDescent="0.25">
      <c r="B9" s="388"/>
      <c r="C9" s="385"/>
      <c r="D9" s="386"/>
      <c r="E9" s="388"/>
      <c r="F9" s="466"/>
      <c r="G9" s="385"/>
      <c r="H9" s="386"/>
      <c r="I9" s="98"/>
      <c r="J9" s="98"/>
      <c r="K9" s="236"/>
      <c r="L9" s="237"/>
      <c r="M9" s="238" t="s">
        <v>345</v>
      </c>
      <c r="N9" s="239">
        <f>13.81/100</f>
        <v>0.1381</v>
      </c>
      <c r="O9" s="240">
        <f>N9*S8</f>
        <v>0.4484107</v>
      </c>
      <c r="P9" s="239">
        <f>16.63/100</f>
        <v>0.1663</v>
      </c>
      <c r="Q9" s="241">
        <f>P9*S8</f>
        <v>0.53997609999999996</v>
      </c>
      <c r="S9" s="96"/>
      <c r="T9" s="110"/>
      <c r="X9" s="89"/>
      <c r="AB9" s="103"/>
      <c r="AH9" s="233"/>
      <c r="AI9" s="233"/>
    </row>
    <row r="10" spans="2:35" s="1" customFormat="1" x14ac:dyDescent="0.2">
      <c r="B10" s="445" t="s">
        <v>140</v>
      </c>
      <c r="C10" s="389" t="s">
        <v>380</v>
      </c>
      <c r="D10" s="390"/>
      <c r="E10" s="397" t="s">
        <v>381</v>
      </c>
      <c r="F10" s="451" t="s">
        <v>390</v>
      </c>
      <c r="G10" s="393" t="str">
        <f>"Edificios de entidades:  
- Llegar a remplazar " &amp; E16 &amp;" termas eléctricas por calentadores solares en una entidad"</f>
        <v>Edificios de entidades:  
- Llegar a remplazar 20 termas eléctricas por calentadores solares en una entidad</v>
      </c>
      <c r="H10" s="394"/>
      <c r="I10" s="237"/>
      <c r="J10" s="237"/>
      <c r="K10" s="236"/>
      <c r="L10" s="237"/>
      <c r="M10" s="242" t="s">
        <v>265</v>
      </c>
      <c r="S10" s="106"/>
      <c r="T10" s="110"/>
      <c r="X10" s="89"/>
      <c r="AB10" s="103"/>
      <c r="AH10" s="233"/>
      <c r="AI10" s="233"/>
    </row>
    <row r="11" spans="2:35" s="1" customFormat="1" ht="63" customHeight="1" x14ac:dyDescent="0.2">
      <c r="B11" s="446"/>
      <c r="C11" s="391"/>
      <c r="D11" s="392"/>
      <c r="E11" s="398"/>
      <c r="F11" s="397"/>
      <c r="G11" s="395"/>
      <c r="H11" s="396"/>
      <c r="I11" s="237"/>
      <c r="J11" s="237"/>
      <c r="K11" s="18"/>
      <c r="M11" s="14" t="s">
        <v>266</v>
      </c>
      <c r="T11" s="20"/>
      <c r="U11" s="181"/>
      <c r="X11" s="20"/>
      <c r="AG11" s="109"/>
      <c r="AH11" s="233"/>
      <c r="AI11" s="233"/>
    </row>
    <row r="12" spans="2:35" s="1" customFormat="1" x14ac:dyDescent="0.2">
      <c r="K12" s="18"/>
      <c r="M12" s="15" t="s">
        <v>238</v>
      </c>
      <c r="U12" s="20"/>
      <c r="V12" s="20"/>
      <c r="W12" s="20"/>
    </row>
    <row r="13" spans="2:35" s="1" customFormat="1" x14ac:dyDescent="0.2">
      <c r="B13" s="12" t="s">
        <v>267</v>
      </c>
      <c r="K13" s="243"/>
      <c r="M13" s="127" t="s">
        <v>44</v>
      </c>
      <c r="S13" s="129" t="s">
        <v>45</v>
      </c>
      <c r="T13" s="130"/>
      <c r="U13" s="20"/>
      <c r="V13" s="20"/>
      <c r="W13" s="20"/>
    </row>
    <row r="14" spans="2:35" s="1" customFormat="1" ht="38.25" x14ac:dyDescent="0.2">
      <c r="B14" s="127" t="s">
        <v>88</v>
      </c>
      <c r="C14" s="127"/>
      <c r="H14" s="244"/>
      <c r="I14" s="244"/>
      <c r="J14" s="244"/>
      <c r="K14" s="243"/>
      <c r="M14" s="316" t="s">
        <v>46</v>
      </c>
      <c r="N14" s="405" t="s">
        <v>128</v>
      </c>
      <c r="O14" s="442" t="s">
        <v>346</v>
      </c>
      <c r="P14" s="438" t="s">
        <v>347</v>
      </c>
      <c r="Q14" s="438" t="s">
        <v>293</v>
      </c>
      <c r="S14" s="111" t="s">
        <v>348</v>
      </c>
      <c r="T14" s="111" t="s">
        <v>349</v>
      </c>
      <c r="U14" s="111" t="s">
        <v>293</v>
      </c>
      <c r="V14" s="20"/>
      <c r="W14" s="20"/>
    </row>
    <row r="15" spans="2:35" s="1" customFormat="1" ht="29.25" customHeight="1" thickBot="1" x14ac:dyDescent="0.25">
      <c r="B15" s="46" t="s">
        <v>350</v>
      </c>
      <c r="C15" s="48" t="s">
        <v>41</v>
      </c>
      <c r="D15" s="46" t="s">
        <v>271</v>
      </c>
      <c r="E15" s="368" t="s">
        <v>379</v>
      </c>
      <c r="F15" s="32" t="s">
        <v>383</v>
      </c>
      <c r="K15" s="243"/>
      <c r="M15" s="317"/>
      <c r="N15" s="434"/>
      <c r="O15" s="443"/>
      <c r="P15" s="439"/>
      <c r="Q15" s="439"/>
      <c r="S15" s="141"/>
      <c r="T15" s="141"/>
      <c r="U15" s="141"/>
      <c r="V15" s="20"/>
      <c r="W15" s="20"/>
    </row>
    <row r="16" spans="2:35" s="1" customFormat="1" ht="13.5" thickBot="1" x14ac:dyDescent="0.25">
      <c r="B16" s="339">
        <v>200000</v>
      </c>
      <c r="C16" s="339" t="s">
        <v>141</v>
      </c>
      <c r="D16" s="254">
        <f>E16/B16</f>
        <v>1E-4</v>
      </c>
      <c r="E16" s="247">
        <v>20</v>
      </c>
      <c r="F16" s="247">
        <v>5</v>
      </c>
      <c r="K16" s="18"/>
      <c r="L16" s="244"/>
      <c r="M16" s="142">
        <v>2017</v>
      </c>
      <c r="N16" s="340"/>
      <c r="O16" s="271"/>
      <c r="P16" s="144"/>
      <c r="Q16" s="144"/>
      <c r="S16" s="143"/>
      <c r="T16" s="144"/>
      <c r="U16" s="144">
        <f t="shared" ref="U16:U29" si="0">S16+T16</f>
        <v>0</v>
      </c>
      <c r="V16" s="20"/>
      <c r="W16" s="20"/>
    </row>
    <row r="17" spans="2:31" s="1" customFormat="1" ht="13.5" thickBot="1" x14ac:dyDescent="0.25">
      <c r="B17" s="339"/>
      <c r="C17" s="339"/>
      <c r="D17" s="254"/>
      <c r="E17" s="260"/>
      <c r="F17" s="260"/>
      <c r="K17" s="18"/>
      <c r="L17" s="244"/>
      <c r="M17" s="146">
        <v>2018</v>
      </c>
      <c r="N17" s="341">
        <f>C19</f>
        <v>4</v>
      </c>
      <c r="O17" s="273">
        <f t="shared" ref="O17:O29" si="1">E28*$O$9*1000</f>
        <v>4842.8355600000004</v>
      </c>
      <c r="P17" s="67">
        <f t="shared" ref="P17:P29" si="2">N17*$C$55*$C$45</f>
        <v>17923.439999999999</v>
      </c>
      <c r="Q17" s="149">
        <f>O17+P17</f>
        <v>22766.275559999998</v>
      </c>
      <c r="S17" s="147">
        <f t="shared" ref="S17:S29" si="3">D28*1000*$O$9</f>
        <v>9685.6711199999991</v>
      </c>
      <c r="T17" s="67">
        <f t="shared" ref="T17:T29" si="4">N17*$C$50*$C$45</f>
        <v>20488</v>
      </c>
      <c r="U17" s="149">
        <f t="shared" si="0"/>
        <v>30173.671119999999</v>
      </c>
      <c r="V17" s="20"/>
      <c r="W17" s="20"/>
    </row>
    <row r="18" spans="2:31" s="1" customFormat="1" ht="13.5" thickBot="1" x14ac:dyDescent="0.25">
      <c r="B18" s="258" t="s">
        <v>384</v>
      </c>
      <c r="C18" s="247">
        <v>2018</v>
      </c>
      <c r="D18" s="253"/>
      <c r="E18" s="254"/>
      <c r="F18" s="342"/>
      <c r="G18" s="342"/>
      <c r="H18" s="255"/>
      <c r="K18" s="18"/>
      <c r="L18" s="244"/>
      <c r="M18" s="146">
        <v>2019</v>
      </c>
      <c r="N18" s="341">
        <f t="shared" ref="N18:N29" si="5">C29</f>
        <v>6</v>
      </c>
      <c r="O18" s="273">
        <f t="shared" si="1"/>
        <v>7264.2533400000002</v>
      </c>
      <c r="P18" s="67">
        <f t="shared" si="2"/>
        <v>26885.16</v>
      </c>
      <c r="Q18" s="149">
        <f t="shared" ref="Q18:Q29" si="6">O18+P18</f>
        <v>34149.413339999999</v>
      </c>
      <c r="S18" s="147">
        <f t="shared" si="3"/>
        <v>14528.50668</v>
      </c>
      <c r="T18" s="67">
        <f t="shared" si="4"/>
        <v>30732.000000000004</v>
      </c>
      <c r="U18" s="149">
        <f t="shared" si="0"/>
        <v>45260.506680000006</v>
      </c>
      <c r="V18" s="20"/>
      <c r="W18" s="20"/>
    </row>
    <row r="19" spans="2:31" s="1" customFormat="1" ht="13.5" thickBot="1" x14ac:dyDescent="0.25">
      <c r="B19" s="258" t="s">
        <v>393</v>
      </c>
      <c r="C19" s="247">
        <v>4</v>
      </c>
      <c r="K19" s="18"/>
      <c r="M19" s="146">
        <v>2020</v>
      </c>
      <c r="N19" s="341">
        <f t="shared" si="5"/>
        <v>7</v>
      </c>
      <c r="O19" s="273">
        <f t="shared" si="1"/>
        <v>8474.9622299999992</v>
      </c>
      <c r="P19" s="67">
        <f t="shared" si="2"/>
        <v>31366.02</v>
      </c>
      <c r="Q19" s="149">
        <f t="shared" si="6"/>
        <v>39840.982230000001</v>
      </c>
      <c r="S19" s="147">
        <f t="shared" si="3"/>
        <v>16949.924459999998</v>
      </c>
      <c r="T19" s="67">
        <f t="shared" si="4"/>
        <v>35854</v>
      </c>
      <c r="U19" s="149">
        <f t="shared" si="0"/>
        <v>52803.924459999995</v>
      </c>
      <c r="V19" s="20"/>
      <c r="W19" s="20"/>
    </row>
    <row r="20" spans="2:31" s="1" customFormat="1" ht="13.5" x14ac:dyDescent="0.2">
      <c r="B20" s="258"/>
      <c r="C20" s="259"/>
      <c r="K20" s="18"/>
      <c r="M20" s="146">
        <v>2021</v>
      </c>
      <c r="N20" s="341">
        <f t="shared" si="5"/>
        <v>8</v>
      </c>
      <c r="O20" s="273">
        <f t="shared" si="1"/>
        <v>9685.6711200000009</v>
      </c>
      <c r="P20" s="67">
        <f t="shared" si="2"/>
        <v>35846.879999999997</v>
      </c>
      <c r="Q20" s="149">
        <f t="shared" si="6"/>
        <v>45532.551119999996</v>
      </c>
      <c r="S20" s="147">
        <f t="shared" si="3"/>
        <v>19371.342239999998</v>
      </c>
      <c r="T20" s="67">
        <f t="shared" si="4"/>
        <v>40976</v>
      </c>
      <c r="U20" s="149">
        <f t="shared" si="0"/>
        <v>60347.342239999998</v>
      </c>
      <c r="V20" s="20"/>
      <c r="W20" s="20"/>
    </row>
    <row r="21" spans="2:31" s="1" customFormat="1" ht="15" x14ac:dyDescent="0.2">
      <c r="B21" s="258" t="s">
        <v>281</v>
      </c>
      <c r="C21" s="259" t="s">
        <v>142</v>
      </c>
      <c r="K21" s="18"/>
      <c r="M21" s="146">
        <v>2022</v>
      </c>
      <c r="N21" s="341">
        <f t="shared" si="5"/>
        <v>10</v>
      </c>
      <c r="O21" s="273">
        <f t="shared" si="1"/>
        <v>12107.088899999999</v>
      </c>
      <c r="P21" s="67">
        <f t="shared" si="2"/>
        <v>44808.6</v>
      </c>
      <c r="Q21" s="149">
        <f t="shared" si="6"/>
        <v>56915.688899999994</v>
      </c>
      <c r="S21" s="147">
        <f t="shared" si="3"/>
        <v>24214.177800000001</v>
      </c>
      <c r="T21" s="67">
        <f t="shared" si="4"/>
        <v>51220</v>
      </c>
      <c r="U21" s="149">
        <f t="shared" si="0"/>
        <v>75434.177800000005</v>
      </c>
      <c r="V21" s="20"/>
      <c r="W21" s="20"/>
    </row>
    <row r="22" spans="2:31" s="1" customFormat="1" ht="15" x14ac:dyDescent="0.2">
      <c r="B22" s="258" t="s">
        <v>282</v>
      </c>
      <c r="C22" s="259" t="s">
        <v>382</v>
      </c>
      <c r="F22" s="258"/>
      <c r="G22" s="261"/>
      <c r="H22" s="261"/>
      <c r="J22" s="261"/>
      <c r="K22" s="18"/>
      <c r="M22" s="146">
        <v>2023</v>
      </c>
      <c r="N22" s="341">
        <f t="shared" si="5"/>
        <v>11</v>
      </c>
      <c r="O22" s="273">
        <f t="shared" si="1"/>
        <v>13317.797790000001</v>
      </c>
      <c r="P22" s="67">
        <f t="shared" si="2"/>
        <v>49289.46</v>
      </c>
      <c r="Q22" s="149">
        <f t="shared" si="6"/>
        <v>62607.257790000003</v>
      </c>
      <c r="S22" s="147">
        <f t="shared" si="3"/>
        <v>26635.595580000001</v>
      </c>
      <c r="T22" s="67">
        <f t="shared" si="4"/>
        <v>56341.999999999993</v>
      </c>
      <c r="U22" s="149">
        <f t="shared" si="0"/>
        <v>82977.595579999994</v>
      </c>
      <c r="V22" s="20"/>
      <c r="W22" s="20"/>
    </row>
    <row r="23" spans="2:31" s="1" customFormat="1" x14ac:dyDescent="0.2">
      <c r="K23" s="18"/>
      <c r="M23" s="146">
        <v>2024</v>
      </c>
      <c r="N23" s="341">
        <f t="shared" si="5"/>
        <v>12</v>
      </c>
      <c r="O23" s="273">
        <f t="shared" si="1"/>
        <v>14528.50668</v>
      </c>
      <c r="P23" s="67">
        <f t="shared" si="2"/>
        <v>53770.32</v>
      </c>
      <c r="Q23" s="149">
        <f t="shared" si="6"/>
        <v>68298.826679999998</v>
      </c>
      <c r="S23" s="147">
        <f t="shared" si="3"/>
        <v>29057.013360000001</v>
      </c>
      <c r="T23" s="67">
        <f t="shared" si="4"/>
        <v>61464.000000000007</v>
      </c>
      <c r="U23" s="149">
        <f t="shared" si="0"/>
        <v>90521.013360000012</v>
      </c>
      <c r="V23" s="20"/>
      <c r="W23" s="20"/>
      <c r="Z23" s="92"/>
    </row>
    <row r="24" spans="2:31" s="1" customFormat="1" x14ac:dyDescent="0.2">
      <c r="B24" s="127" t="s">
        <v>65</v>
      </c>
      <c r="K24" s="18"/>
      <c r="M24" s="146">
        <v>2025</v>
      </c>
      <c r="N24" s="341">
        <f t="shared" si="5"/>
        <v>14</v>
      </c>
      <c r="O24" s="273">
        <f t="shared" si="1"/>
        <v>16949.924459999998</v>
      </c>
      <c r="P24" s="67">
        <f t="shared" si="2"/>
        <v>62732.04</v>
      </c>
      <c r="Q24" s="149">
        <f t="shared" si="6"/>
        <v>79681.964460000003</v>
      </c>
      <c r="S24" s="147">
        <f t="shared" si="3"/>
        <v>33899.848919999997</v>
      </c>
      <c r="T24" s="67">
        <f t="shared" si="4"/>
        <v>71708</v>
      </c>
      <c r="U24" s="149">
        <f t="shared" si="0"/>
        <v>105607.84891999999</v>
      </c>
      <c r="V24" s="20"/>
      <c r="W24" s="20"/>
      <c r="Z24" s="92"/>
    </row>
    <row r="25" spans="2:31" s="1" customFormat="1" x14ac:dyDescent="0.2">
      <c r="B25" s="405" t="s">
        <v>46</v>
      </c>
      <c r="C25" s="438" t="s">
        <v>351</v>
      </c>
      <c r="D25" s="438" t="s">
        <v>391</v>
      </c>
      <c r="E25" s="438" t="s">
        <v>387</v>
      </c>
      <c r="K25" s="18"/>
      <c r="M25" s="146">
        <v>2026</v>
      </c>
      <c r="N25" s="341">
        <f t="shared" si="5"/>
        <v>15</v>
      </c>
      <c r="O25" s="273">
        <f t="shared" si="1"/>
        <v>18160.63335</v>
      </c>
      <c r="P25" s="67">
        <f t="shared" si="2"/>
        <v>67212.899999999994</v>
      </c>
      <c r="Q25" s="149">
        <f t="shared" si="6"/>
        <v>85373.533349999998</v>
      </c>
      <c r="S25" s="147">
        <f t="shared" si="3"/>
        <v>36321.2667</v>
      </c>
      <c r="T25" s="67">
        <f t="shared" si="4"/>
        <v>76830</v>
      </c>
      <c r="U25" s="149">
        <f t="shared" si="0"/>
        <v>113151.26670000001</v>
      </c>
      <c r="Z25" s="92"/>
      <c r="AA25" s="92"/>
      <c r="AB25" s="92"/>
      <c r="AD25" s="92"/>
      <c r="AE25" s="92"/>
    </row>
    <row r="26" spans="2:31" s="1" customFormat="1" ht="30.75" customHeight="1" thickBot="1" x14ac:dyDescent="0.25">
      <c r="B26" s="434"/>
      <c r="C26" s="439"/>
      <c r="D26" s="439"/>
      <c r="E26" s="439"/>
      <c r="K26" s="18"/>
      <c r="M26" s="146">
        <v>2027</v>
      </c>
      <c r="N26" s="341">
        <f t="shared" si="5"/>
        <v>16</v>
      </c>
      <c r="O26" s="273">
        <f t="shared" si="1"/>
        <v>19371.342240000002</v>
      </c>
      <c r="P26" s="67">
        <f t="shared" si="2"/>
        <v>71693.759999999995</v>
      </c>
      <c r="Q26" s="149">
        <f t="shared" si="6"/>
        <v>91065.102239999993</v>
      </c>
      <c r="S26" s="147">
        <f t="shared" si="3"/>
        <v>38742.684479999996</v>
      </c>
      <c r="T26" s="67">
        <f t="shared" si="4"/>
        <v>81952</v>
      </c>
      <c r="U26" s="149">
        <f t="shared" si="0"/>
        <v>120694.68448</v>
      </c>
      <c r="Z26" s="92"/>
      <c r="AA26" s="92"/>
      <c r="AB26" s="92"/>
      <c r="AD26" s="92"/>
      <c r="AE26" s="92"/>
    </row>
    <row r="27" spans="2:31" s="1" customFormat="1" ht="16.5" x14ac:dyDescent="0.3">
      <c r="B27" s="318">
        <v>2017</v>
      </c>
      <c r="C27" s="319"/>
      <c r="D27" s="319"/>
      <c r="E27" s="321"/>
      <c r="K27" s="18"/>
      <c r="M27" s="146">
        <v>2028</v>
      </c>
      <c r="N27" s="341">
        <f t="shared" si="5"/>
        <v>18</v>
      </c>
      <c r="O27" s="273">
        <f t="shared" si="1"/>
        <v>21792.760019999998</v>
      </c>
      <c r="P27" s="67">
        <f t="shared" si="2"/>
        <v>80655.48</v>
      </c>
      <c r="Q27" s="149">
        <f t="shared" si="6"/>
        <v>102448.24002</v>
      </c>
      <c r="S27" s="147">
        <f t="shared" si="3"/>
        <v>43585.520040000003</v>
      </c>
      <c r="T27" s="67">
        <f t="shared" si="4"/>
        <v>92196</v>
      </c>
      <c r="U27" s="149">
        <f t="shared" si="0"/>
        <v>135781.52004</v>
      </c>
      <c r="Z27" s="33"/>
      <c r="AA27" s="92"/>
      <c r="AB27" s="92"/>
      <c r="AD27" s="92"/>
      <c r="AE27" s="92"/>
    </row>
    <row r="28" spans="2:31" s="1" customFormat="1" ht="12.75" customHeight="1" x14ac:dyDescent="0.2">
      <c r="B28" s="239">
        <f>C18</f>
        <v>2018</v>
      </c>
      <c r="C28" s="371">
        <f t="shared" ref="C28:C40" si="7">ROUNDUP($C$19+($E$16-$C$19)*(1-($B$40-$B28)/($B$40-$B$28)),0)</f>
        <v>4</v>
      </c>
      <c r="D28" s="372">
        <f t="shared" ref="D28:D40" si="8">C28*$F$16*$C$47*$C$48/10^3</f>
        <v>21.6</v>
      </c>
      <c r="E28" s="373">
        <f t="shared" ref="E28:E40" si="9">D28-C28*$F$16*($C$52*$C$56+$C$53*$C$54)/10^3</f>
        <v>10.8</v>
      </c>
      <c r="F28" s="343"/>
      <c r="K28" s="18"/>
      <c r="M28" s="146">
        <v>2029</v>
      </c>
      <c r="N28" s="341">
        <f t="shared" si="5"/>
        <v>19</v>
      </c>
      <c r="O28" s="273">
        <f t="shared" si="1"/>
        <v>23003.46891</v>
      </c>
      <c r="P28" s="67">
        <f t="shared" si="2"/>
        <v>85136.34</v>
      </c>
      <c r="Q28" s="149">
        <f t="shared" si="6"/>
        <v>108139.80890999999</v>
      </c>
      <c r="S28" s="147">
        <f t="shared" si="3"/>
        <v>46006.937819999999</v>
      </c>
      <c r="T28" s="67">
        <f t="shared" si="4"/>
        <v>97318</v>
      </c>
      <c r="U28" s="149">
        <f t="shared" si="0"/>
        <v>143324.93781999999</v>
      </c>
      <c r="Z28" s="92"/>
      <c r="AA28" s="92"/>
      <c r="AB28" s="92"/>
      <c r="AD28" s="92"/>
      <c r="AE28" s="92"/>
    </row>
    <row r="29" spans="2:31" s="1" customFormat="1" ht="16.5" x14ac:dyDescent="0.3">
      <c r="B29" s="239">
        <v>2019</v>
      </c>
      <c r="C29" s="371">
        <f t="shared" si="7"/>
        <v>6</v>
      </c>
      <c r="D29" s="372">
        <f t="shared" si="8"/>
        <v>32.4</v>
      </c>
      <c r="E29" s="373">
        <f t="shared" si="9"/>
        <v>16.2</v>
      </c>
      <c r="F29" s="343">
        <f>B29-$B$28</f>
        <v>1</v>
      </c>
      <c r="K29" s="18"/>
      <c r="M29" s="146">
        <v>2030</v>
      </c>
      <c r="N29" s="341">
        <f t="shared" si="5"/>
        <v>20</v>
      </c>
      <c r="O29" s="273">
        <f t="shared" si="1"/>
        <v>24214.177799999998</v>
      </c>
      <c r="P29" s="67">
        <f t="shared" si="2"/>
        <v>89617.2</v>
      </c>
      <c r="Q29" s="149">
        <f t="shared" si="6"/>
        <v>113831.37779999999</v>
      </c>
      <c r="S29" s="147">
        <f t="shared" si="3"/>
        <v>48428.355600000003</v>
      </c>
      <c r="T29" s="67">
        <f t="shared" si="4"/>
        <v>102440</v>
      </c>
      <c r="U29" s="149">
        <f t="shared" si="0"/>
        <v>150868.35560000001</v>
      </c>
      <c r="Z29" s="92"/>
      <c r="AA29" s="33"/>
      <c r="AB29" s="33"/>
      <c r="AC29" s="33"/>
      <c r="AD29" s="33"/>
      <c r="AE29" s="33"/>
    </row>
    <row r="30" spans="2:31" s="1" customFormat="1" x14ac:dyDescent="0.2">
      <c r="B30" s="239">
        <v>2020</v>
      </c>
      <c r="C30" s="371">
        <f t="shared" si="7"/>
        <v>7</v>
      </c>
      <c r="D30" s="372">
        <f t="shared" si="8"/>
        <v>37.799999999999997</v>
      </c>
      <c r="E30" s="373">
        <f t="shared" si="9"/>
        <v>18.899999999999999</v>
      </c>
      <c r="F30" s="343">
        <f t="shared" ref="F30:F40" si="10">B30-$B$28</f>
        <v>2</v>
      </c>
      <c r="K30" s="18"/>
      <c r="N30" s="92"/>
      <c r="O30" s="159"/>
      <c r="P30" s="159"/>
      <c r="Q30" s="160">
        <f>NPV(C44,Q16:Q29)</f>
        <v>658146.94089809898</v>
      </c>
      <c r="U30" s="160">
        <f>NPV(C44,U16:U29)</f>
        <v>838736.78765617684</v>
      </c>
      <c r="Z30" s="92"/>
      <c r="AA30" s="92"/>
      <c r="AB30" s="92"/>
      <c r="AD30" s="92"/>
      <c r="AE30" s="92"/>
    </row>
    <row r="31" spans="2:31" s="1" customFormat="1" ht="12.75" customHeight="1" x14ac:dyDescent="0.2">
      <c r="B31" s="239">
        <v>2021</v>
      </c>
      <c r="C31" s="371">
        <f t="shared" si="7"/>
        <v>8</v>
      </c>
      <c r="D31" s="372">
        <f t="shared" si="8"/>
        <v>43.2</v>
      </c>
      <c r="E31" s="373">
        <f t="shared" si="9"/>
        <v>21.6</v>
      </c>
      <c r="F31" s="343">
        <f t="shared" si="10"/>
        <v>3</v>
      </c>
      <c r="G31" s="92"/>
      <c r="K31" s="18"/>
      <c r="P31" s="92"/>
      <c r="Z31" s="92"/>
      <c r="AA31" s="92"/>
      <c r="AB31" s="92"/>
      <c r="AD31" s="92"/>
      <c r="AE31" s="92"/>
    </row>
    <row r="32" spans="2:31" s="1" customFormat="1" ht="27" customHeight="1" x14ac:dyDescent="0.2">
      <c r="B32" s="239">
        <v>2022</v>
      </c>
      <c r="C32" s="371">
        <f t="shared" si="7"/>
        <v>10</v>
      </c>
      <c r="D32" s="372">
        <f t="shared" si="8"/>
        <v>54</v>
      </c>
      <c r="E32" s="373">
        <f t="shared" si="9"/>
        <v>27</v>
      </c>
      <c r="F32" s="343">
        <f t="shared" si="10"/>
        <v>4</v>
      </c>
      <c r="G32" s="92"/>
      <c r="K32" s="18"/>
      <c r="M32" s="92"/>
      <c r="N32" s="92"/>
      <c r="O32" s="92"/>
      <c r="P32" s="92"/>
      <c r="Q32" s="92"/>
      <c r="Z32" s="92"/>
      <c r="AA32" s="92"/>
      <c r="AB32" s="92"/>
      <c r="AD32" s="92"/>
      <c r="AE32" s="92"/>
    </row>
    <row r="33" spans="1:39" s="1" customFormat="1" x14ac:dyDescent="0.2">
      <c r="B33" s="239">
        <v>2023</v>
      </c>
      <c r="C33" s="371">
        <f t="shared" si="7"/>
        <v>11</v>
      </c>
      <c r="D33" s="372">
        <f t="shared" si="8"/>
        <v>59.4</v>
      </c>
      <c r="E33" s="373">
        <f t="shared" si="9"/>
        <v>29.7</v>
      </c>
      <c r="F33" s="343">
        <f t="shared" si="10"/>
        <v>5</v>
      </c>
      <c r="G33" s="92"/>
      <c r="K33" s="270"/>
      <c r="M33" s="12" t="s">
        <v>248</v>
      </c>
      <c r="Z33" s="92"/>
      <c r="AA33" s="92"/>
      <c r="AB33" s="92"/>
      <c r="AD33" s="92"/>
      <c r="AE33" s="92"/>
    </row>
    <row r="34" spans="1:39" s="1" customFormat="1" x14ac:dyDescent="0.2">
      <c r="B34" s="239">
        <v>2024</v>
      </c>
      <c r="C34" s="371">
        <f t="shared" si="7"/>
        <v>12</v>
      </c>
      <c r="D34" s="372">
        <f t="shared" si="8"/>
        <v>64.8</v>
      </c>
      <c r="E34" s="373">
        <f t="shared" si="9"/>
        <v>32.4</v>
      </c>
      <c r="F34" s="343">
        <f t="shared" si="10"/>
        <v>6</v>
      </c>
      <c r="G34" s="92"/>
      <c r="K34" s="270"/>
      <c r="L34" s="272"/>
      <c r="M34" s="12"/>
      <c r="Z34" s="92"/>
      <c r="AA34" s="92"/>
      <c r="AB34" s="92"/>
      <c r="AD34" s="92"/>
      <c r="AE34" s="92"/>
    </row>
    <row r="35" spans="1:39" s="1" customFormat="1" ht="26.25" thickBot="1" x14ac:dyDescent="0.35">
      <c r="B35" s="239">
        <v>2025</v>
      </c>
      <c r="C35" s="371">
        <f t="shared" si="7"/>
        <v>14</v>
      </c>
      <c r="D35" s="372">
        <f t="shared" si="8"/>
        <v>75.599999999999994</v>
      </c>
      <c r="E35" s="373">
        <f t="shared" si="9"/>
        <v>37.799999999999997</v>
      </c>
      <c r="F35" s="343">
        <f t="shared" si="10"/>
        <v>7</v>
      </c>
      <c r="G35" s="33"/>
      <c r="K35" s="270"/>
      <c r="L35" s="272"/>
      <c r="M35" s="22" t="s">
        <v>48</v>
      </c>
      <c r="N35" s="22" t="s">
        <v>49</v>
      </c>
      <c r="O35" s="22" t="s">
        <v>50</v>
      </c>
      <c r="P35" s="22" t="s">
        <v>51</v>
      </c>
      <c r="Q35" s="281"/>
      <c r="Z35" s="92"/>
      <c r="AA35" s="92"/>
      <c r="AB35" s="92"/>
      <c r="AD35" s="92"/>
      <c r="AE35" s="92"/>
    </row>
    <row r="36" spans="1:39" s="1" customFormat="1" ht="12.75" customHeight="1" x14ac:dyDescent="0.2">
      <c r="B36" s="239">
        <v>2026</v>
      </c>
      <c r="C36" s="371">
        <f t="shared" si="7"/>
        <v>15</v>
      </c>
      <c r="D36" s="372">
        <f t="shared" si="8"/>
        <v>81</v>
      </c>
      <c r="E36" s="373">
        <f t="shared" si="9"/>
        <v>40.5</v>
      </c>
      <c r="F36" s="343">
        <f t="shared" si="10"/>
        <v>8</v>
      </c>
      <c r="K36" s="270"/>
      <c r="L36" s="272"/>
      <c r="M36" s="469" t="s">
        <v>137</v>
      </c>
      <c r="N36" s="426" t="s">
        <v>143</v>
      </c>
      <c r="O36" s="426" t="s">
        <v>79</v>
      </c>
      <c r="P36" s="471" t="s">
        <v>139</v>
      </c>
      <c r="Q36" s="285"/>
      <c r="Z36" s="92"/>
      <c r="AA36" s="92"/>
      <c r="AB36" s="92"/>
      <c r="AD36" s="92"/>
      <c r="AE36" s="92"/>
    </row>
    <row r="37" spans="1:39" s="1" customFormat="1" ht="52.5" customHeight="1" x14ac:dyDescent="0.2">
      <c r="B37" s="367">
        <v>2027</v>
      </c>
      <c r="C37" s="371">
        <f t="shared" si="7"/>
        <v>16</v>
      </c>
      <c r="D37" s="372">
        <f t="shared" si="8"/>
        <v>86.4</v>
      </c>
      <c r="E37" s="373">
        <f t="shared" si="9"/>
        <v>43.2</v>
      </c>
      <c r="F37" s="343">
        <f t="shared" si="10"/>
        <v>9</v>
      </c>
      <c r="K37" s="270"/>
      <c r="L37" s="272"/>
      <c r="M37" s="470"/>
      <c r="N37" s="426"/>
      <c r="O37" s="426"/>
      <c r="P37" s="471"/>
      <c r="Q37" s="285"/>
      <c r="Z37" s="92"/>
      <c r="AA37" s="92"/>
      <c r="AB37" s="92"/>
      <c r="AD37" s="92"/>
      <c r="AE37" s="92"/>
    </row>
    <row r="38" spans="1:39" s="1" customFormat="1" ht="12.75" customHeight="1" x14ac:dyDescent="0.2">
      <c r="B38" s="239">
        <v>2028</v>
      </c>
      <c r="C38" s="371">
        <f t="shared" si="7"/>
        <v>18</v>
      </c>
      <c r="D38" s="372">
        <f t="shared" si="8"/>
        <v>97.2</v>
      </c>
      <c r="E38" s="373">
        <f t="shared" si="9"/>
        <v>48.6</v>
      </c>
      <c r="F38" s="343">
        <f t="shared" si="10"/>
        <v>10</v>
      </c>
      <c r="K38" s="270"/>
      <c r="L38" s="272"/>
      <c r="M38" s="470"/>
      <c r="N38" s="426"/>
      <c r="O38" s="426"/>
      <c r="P38" s="471"/>
      <c r="Q38" s="285"/>
      <c r="Z38" s="92"/>
      <c r="AA38" s="92"/>
      <c r="AB38" s="92"/>
      <c r="AD38" s="92"/>
      <c r="AE38" s="92"/>
    </row>
    <row r="39" spans="1:39" s="1" customFormat="1" x14ac:dyDescent="0.2">
      <c r="B39" s="239">
        <v>2029</v>
      </c>
      <c r="C39" s="371">
        <f t="shared" si="7"/>
        <v>19</v>
      </c>
      <c r="D39" s="372">
        <f t="shared" si="8"/>
        <v>102.6</v>
      </c>
      <c r="E39" s="373">
        <f t="shared" si="9"/>
        <v>51.3</v>
      </c>
      <c r="F39" s="343">
        <f t="shared" si="10"/>
        <v>11</v>
      </c>
      <c r="K39" s="270"/>
      <c r="L39" s="272"/>
      <c r="M39" s="470"/>
      <c r="N39" s="427"/>
      <c r="O39" s="427"/>
      <c r="P39" s="472"/>
      <c r="Q39" s="285"/>
      <c r="Z39" s="92"/>
      <c r="AA39" s="92"/>
      <c r="AB39" s="92"/>
      <c r="AD39" s="92"/>
      <c r="AE39" s="92"/>
    </row>
    <row r="40" spans="1:39" s="1" customFormat="1" x14ac:dyDescent="0.2">
      <c r="B40" s="239">
        <v>2030</v>
      </c>
      <c r="C40" s="371">
        <f t="shared" si="7"/>
        <v>20</v>
      </c>
      <c r="D40" s="372">
        <f t="shared" si="8"/>
        <v>108</v>
      </c>
      <c r="E40" s="373">
        <f t="shared" si="9"/>
        <v>54</v>
      </c>
      <c r="F40" s="343">
        <f t="shared" si="10"/>
        <v>12</v>
      </c>
      <c r="K40" s="270"/>
      <c r="L40" s="272"/>
      <c r="M40" s="288"/>
      <c r="N40" s="288"/>
      <c r="O40" s="288"/>
      <c r="P40" s="285"/>
      <c r="Q40" s="285"/>
      <c r="Z40" s="92"/>
      <c r="AA40" s="92"/>
      <c r="AB40" s="92"/>
      <c r="AD40" s="92"/>
      <c r="AE40" s="92"/>
    </row>
    <row r="41" spans="1:39" s="1" customFormat="1" x14ac:dyDescent="0.2">
      <c r="B41" s="344"/>
      <c r="C41" s="344"/>
      <c r="D41" s="344"/>
      <c r="E41" s="344"/>
      <c r="F41" s="345"/>
      <c r="K41" s="270"/>
      <c r="L41" s="272"/>
      <c r="M41" s="92"/>
      <c r="N41" s="92"/>
      <c r="O41" s="92"/>
      <c r="P41" s="92"/>
      <c r="Q41" s="92"/>
      <c r="Z41" s="92"/>
      <c r="AA41" s="92"/>
      <c r="AB41" s="92"/>
      <c r="AD41" s="92"/>
      <c r="AE41" s="92"/>
    </row>
    <row r="42" spans="1:39" x14ac:dyDescent="0.2">
      <c r="B42" s="12" t="s">
        <v>352</v>
      </c>
      <c r="F42" s="346"/>
      <c r="G42" s="1"/>
      <c r="H42" s="1"/>
      <c r="I42" s="1"/>
      <c r="J42" s="1"/>
      <c r="K42" s="270"/>
      <c r="L42" s="272"/>
      <c r="M42" s="12" t="s">
        <v>216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AB42" s="92"/>
      <c r="AC42" s="1"/>
      <c r="AF42" s="92"/>
      <c r="AG42" s="1"/>
      <c r="AH42" s="92"/>
      <c r="AM42" s="1"/>
    </row>
    <row r="43" spans="1:39" ht="13.5" thickBot="1" x14ac:dyDescent="0.25">
      <c r="B43" s="46" t="s">
        <v>9</v>
      </c>
      <c r="C43" s="47" t="s">
        <v>10</v>
      </c>
      <c r="D43" s="48" t="s">
        <v>11</v>
      </c>
      <c r="E43" s="48" t="s">
        <v>12</v>
      </c>
      <c r="F43" s="346"/>
      <c r="G43" s="1"/>
      <c r="H43" s="1"/>
      <c r="I43" s="1"/>
      <c r="J43" s="1"/>
      <c r="K43" s="270"/>
      <c r="L43" s="272"/>
      <c r="M43" s="72"/>
      <c r="N43" s="72"/>
      <c r="O43" s="281"/>
      <c r="P43" s="1"/>
      <c r="Q43" s="1"/>
      <c r="R43" s="1"/>
      <c r="S43" s="1"/>
      <c r="T43" s="1"/>
      <c r="U43" s="1"/>
      <c r="V43" s="1"/>
      <c r="W43" s="1"/>
      <c r="X43" s="1"/>
      <c r="Y43" s="1"/>
      <c r="AB43" s="92"/>
      <c r="AC43" s="1"/>
      <c r="AF43" s="92"/>
      <c r="AG43" s="1"/>
      <c r="AH43" s="92"/>
      <c r="AM43" s="1"/>
    </row>
    <row r="44" spans="1:39" ht="26.25" thickBot="1" x14ac:dyDescent="0.25">
      <c r="B44" s="63" t="s">
        <v>47</v>
      </c>
      <c r="C44" s="315">
        <v>0.04</v>
      </c>
      <c r="D44" s="65" t="s">
        <v>14</v>
      </c>
      <c r="E44" s="169" t="s">
        <v>58</v>
      </c>
      <c r="F44" s="1"/>
      <c r="G44" s="1"/>
      <c r="H44" s="1"/>
      <c r="I44" s="1"/>
      <c r="J44" s="1"/>
      <c r="K44" s="270"/>
      <c r="L44" s="272"/>
      <c r="M44" s="73" t="s">
        <v>371</v>
      </c>
      <c r="N44" s="74"/>
      <c r="O44" s="281"/>
      <c r="P44" s="281"/>
      <c r="Q44" s="281"/>
      <c r="R44" s="1"/>
      <c r="S44" s="1"/>
      <c r="T44" s="1"/>
      <c r="U44" s="1"/>
      <c r="V44" s="1"/>
      <c r="W44" s="1"/>
      <c r="X44" s="1"/>
      <c r="Y44" s="1"/>
      <c r="AB44" s="92"/>
      <c r="AC44" s="1"/>
      <c r="AF44" s="92"/>
      <c r="AG44" s="1"/>
      <c r="AH44" s="92"/>
      <c r="AM44" s="1"/>
    </row>
    <row r="45" spans="1:39" ht="39" thickBot="1" x14ac:dyDescent="0.25">
      <c r="B45" s="63" t="s">
        <v>59</v>
      </c>
      <c r="C45" s="347">
        <v>3.2469999999999999</v>
      </c>
      <c r="D45" s="65" t="s">
        <v>60</v>
      </c>
      <c r="E45" s="169" t="s">
        <v>61</v>
      </c>
      <c r="F45" s="1"/>
      <c r="G45" s="1"/>
      <c r="H45" s="1"/>
      <c r="I45" s="1"/>
      <c r="J45" s="1"/>
      <c r="K45" s="270"/>
      <c r="L45" s="272"/>
      <c r="M45" s="362" t="s">
        <v>53</v>
      </c>
      <c r="N45" s="76">
        <f>Q30/1000</f>
        <v>658.14694089809893</v>
      </c>
      <c r="O45" s="110"/>
      <c r="P45" s="110"/>
      <c r="Q45" s="110"/>
      <c r="R45" s="1"/>
      <c r="S45" s="1"/>
      <c r="T45" s="1"/>
      <c r="U45" s="1"/>
      <c r="V45" s="1"/>
      <c r="W45" s="1"/>
      <c r="X45" s="1"/>
      <c r="Y45" s="1"/>
      <c r="AF45" s="92"/>
      <c r="AG45" s="1"/>
      <c r="AH45" s="92"/>
      <c r="AM45" s="1"/>
    </row>
    <row r="46" spans="1:39" s="33" customFormat="1" ht="17.25" thickBot="1" x14ac:dyDescent="0.35">
      <c r="A46" s="1"/>
      <c r="B46" s="256" t="s">
        <v>394</v>
      </c>
      <c r="F46" s="1"/>
      <c r="G46" s="1"/>
      <c r="H46" s="1"/>
      <c r="I46" s="1"/>
      <c r="J46" s="1"/>
      <c r="K46" s="270"/>
      <c r="L46" s="277"/>
      <c r="M46" s="363" t="s">
        <v>54</v>
      </c>
      <c r="N46" s="289">
        <f>U30/1000</f>
        <v>838.73678765617683</v>
      </c>
      <c r="O46" s="290"/>
      <c r="P46" s="290"/>
      <c r="Q46" s="290"/>
      <c r="R46" s="1"/>
      <c r="S46" s="1"/>
      <c r="T46" s="1"/>
      <c r="U46" s="1"/>
      <c r="V46" s="92"/>
      <c r="W46" s="92"/>
      <c r="X46" s="1"/>
      <c r="Y46" s="1"/>
      <c r="Z46" s="92"/>
      <c r="AA46" s="92"/>
      <c r="AB46" s="1"/>
      <c r="AC46" s="92"/>
      <c r="AD46" s="92"/>
      <c r="AE46" s="92"/>
    </row>
    <row r="47" spans="1:39" ht="26.25" thickBot="1" x14ac:dyDescent="0.25">
      <c r="B47" s="423" t="s">
        <v>144</v>
      </c>
      <c r="C47" s="348">
        <v>3</v>
      </c>
      <c r="D47" s="65" t="s">
        <v>112</v>
      </c>
      <c r="E47" s="169" t="s">
        <v>145</v>
      </c>
      <c r="F47" s="1"/>
      <c r="G47" s="1"/>
      <c r="H47" s="1"/>
      <c r="I47" s="1"/>
      <c r="J47" s="1"/>
      <c r="K47" s="270"/>
      <c r="L47" s="279"/>
      <c r="M47" s="364" t="s">
        <v>372</v>
      </c>
      <c r="N47" s="94">
        <f>ROUNDUP(N45/N46,0)</f>
        <v>1</v>
      </c>
      <c r="O47" s="20"/>
      <c r="P47" s="20"/>
      <c r="Q47" s="20"/>
      <c r="R47" s="1"/>
      <c r="S47" s="1"/>
      <c r="T47" s="1"/>
      <c r="U47" s="1"/>
      <c r="AF47" s="92"/>
      <c r="AG47" s="1"/>
      <c r="AH47" s="92"/>
      <c r="AM47" s="1"/>
    </row>
    <row r="48" spans="1:39" ht="26.25" thickBot="1" x14ac:dyDescent="0.25">
      <c r="B48" s="467"/>
      <c r="C48" s="348">
        <v>360</v>
      </c>
      <c r="D48" s="65" t="s">
        <v>385</v>
      </c>
      <c r="E48" s="169" t="s">
        <v>145</v>
      </c>
      <c r="F48" s="1"/>
      <c r="G48" s="1"/>
      <c r="H48" s="1"/>
      <c r="I48" s="1"/>
      <c r="J48" s="1"/>
      <c r="M48" s="1"/>
      <c r="N48" s="1"/>
      <c r="O48" s="1"/>
      <c r="P48" s="1"/>
      <c r="Q48" s="1"/>
      <c r="R48" s="1"/>
      <c r="AF48" s="92"/>
      <c r="AG48" s="1"/>
      <c r="AH48" s="92"/>
      <c r="AM48" s="1"/>
    </row>
    <row r="49" spans="2:39" ht="26.25" thickBot="1" x14ac:dyDescent="0.25">
      <c r="B49" s="467"/>
      <c r="C49" s="370">
        <f>F16</f>
        <v>5</v>
      </c>
      <c r="D49" s="349" t="s">
        <v>386</v>
      </c>
      <c r="E49" s="169" t="s">
        <v>145</v>
      </c>
      <c r="F49" s="1"/>
      <c r="G49" s="1"/>
      <c r="H49" s="1"/>
      <c r="I49" s="1"/>
      <c r="J49" s="1"/>
      <c r="M49" s="1"/>
      <c r="N49" s="1"/>
      <c r="O49" s="1"/>
      <c r="P49" s="1"/>
      <c r="Q49" s="1"/>
      <c r="AF49" s="92"/>
      <c r="AG49" s="1"/>
      <c r="AH49" s="92"/>
      <c r="AM49" s="1"/>
    </row>
    <row r="50" spans="2:39" ht="51.75" thickBot="1" x14ac:dyDescent="0.25">
      <c r="B50" s="468"/>
      <c r="C50" s="350">
        <f>5122/C45</f>
        <v>1577.4561133353866</v>
      </c>
      <c r="D50" s="349" t="s">
        <v>388</v>
      </c>
      <c r="E50" s="169" t="s">
        <v>146</v>
      </c>
      <c r="F50" s="1"/>
      <c r="G50" s="1"/>
      <c r="H50" s="1"/>
      <c r="I50" s="1"/>
      <c r="J50" s="1"/>
      <c r="M50" s="1"/>
      <c r="N50" s="1"/>
      <c r="O50" s="1"/>
      <c r="P50" s="1"/>
      <c r="Q50" s="1"/>
      <c r="AF50" s="92"/>
      <c r="AG50" s="1"/>
      <c r="AH50" s="92"/>
      <c r="AM50" s="1"/>
    </row>
    <row r="51" spans="2:39" ht="13.5" thickBot="1" x14ac:dyDescent="0.25">
      <c r="B51" s="377" t="s">
        <v>395</v>
      </c>
      <c r="C51" s="374"/>
      <c r="D51" s="375"/>
      <c r="E51" s="376"/>
      <c r="F51" s="1"/>
      <c r="G51" s="1"/>
      <c r="H51" s="1"/>
      <c r="I51" s="1"/>
      <c r="J51" s="1"/>
      <c r="M51" s="1"/>
      <c r="N51" s="1"/>
      <c r="O51" s="1"/>
      <c r="P51" s="1"/>
      <c r="Q51" s="1"/>
      <c r="AF51" s="92"/>
      <c r="AG51" s="1"/>
      <c r="AH51" s="92"/>
      <c r="AM51" s="1"/>
    </row>
    <row r="52" spans="2:39" ht="26.25" thickBot="1" x14ac:dyDescent="0.25">
      <c r="B52" s="423" t="s">
        <v>127</v>
      </c>
      <c r="C52" s="348">
        <v>180</v>
      </c>
      <c r="D52" s="351" t="s">
        <v>123</v>
      </c>
      <c r="E52" s="169" t="s">
        <v>145</v>
      </c>
      <c r="F52" s="1"/>
      <c r="G52" s="1"/>
      <c r="H52" s="1"/>
      <c r="I52" s="1"/>
      <c r="J52" s="1"/>
      <c r="M52" s="1"/>
      <c r="N52" s="1"/>
      <c r="O52" s="1"/>
      <c r="P52" s="1"/>
      <c r="Q52" s="1"/>
      <c r="AF52" s="92"/>
      <c r="AG52" s="1"/>
      <c r="AH52" s="92"/>
      <c r="AM52" s="1"/>
    </row>
    <row r="53" spans="2:39" ht="26.25" thickBot="1" x14ac:dyDescent="0.25">
      <c r="B53" s="467"/>
      <c r="C53" s="370">
        <f>C48-C52</f>
        <v>180</v>
      </c>
      <c r="D53" s="351" t="s">
        <v>124</v>
      </c>
      <c r="E53" s="169" t="s">
        <v>145</v>
      </c>
      <c r="F53" s="1"/>
      <c r="G53" s="1"/>
      <c r="H53" s="1"/>
      <c r="I53" s="1"/>
      <c r="J53" s="1"/>
      <c r="M53" s="1"/>
      <c r="N53" s="1"/>
      <c r="O53" s="1"/>
      <c r="P53" s="1"/>
      <c r="Q53" s="1"/>
      <c r="AF53" s="92"/>
      <c r="AG53" s="1"/>
      <c r="AH53" s="92"/>
      <c r="AM53" s="1"/>
    </row>
    <row r="54" spans="2:39" ht="39" thickBot="1" x14ac:dyDescent="0.25">
      <c r="B54" s="467"/>
      <c r="C54" s="348">
        <v>1</v>
      </c>
      <c r="D54" s="351" t="s">
        <v>126</v>
      </c>
      <c r="E54" s="169" t="s">
        <v>145</v>
      </c>
      <c r="F54" s="1"/>
      <c r="G54" s="1"/>
      <c r="H54" s="1"/>
      <c r="I54" s="1"/>
      <c r="J54" s="1"/>
      <c r="M54" s="1"/>
      <c r="N54" s="1"/>
      <c r="O54" s="1"/>
      <c r="P54" s="1"/>
      <c r="Q54" s="1"/>
      <c r="AF54" s="92"/>
      <c r="AG54" s="1"/>
      <c r="AH54" s="92"/>
      <c r="AM54" s="1"/>
    </row>
    <row r="55" spans="2:39" ht="51.75" thickBot="1" x14ac:dyDescent="0.25">
      <c r="B55" s="467"/>
      <c r="C55" s="350">
        <v>1380</v>
      </c>
      <c r="D55" s="65" t="s">
        <v>389</v>
      </c>
      <c r="E55" s="169" t="s">
        <v>147</v>
      </c>
      <c r="F55" s="1"/>
      <c r="G55" s="1"/>
      <c r="H55" s="1"/>
      <c r="I55" s="1"/>
      <c r="J55" s="1"/>
      <c r="M55" s="1"/>
      <c r="N55" s="1"/>
      <c r="O55" s="1"/>
      <c r="P55" s="1"/>
      <c r="Q55" s="1"/>
      <c r="AF55" s="92"/>
      <c r="AG55" s="1"/>
      <c r="AH55" s="92"/>
      <c r="AM55" s="1"/>
    </row>
    <row r="56" spans="2:39" ht="38.25" x14ac:dyDescent="0.2">
      <c r="B56" s="468"/>
      <c r="C56" s="378">
        <f>C47-C54</f>
        <v>2</v>
      </c>
      <c r="D56" s="351" t="s">
        <v>125</v>
      </c>
      <c r="E56" s="169" t="s">
        <v>145</v>
      </c>
      <c r="F56" s="1"/>
      <c r="G56" s="1"/>
      <c r="H56" s="1"/>
      <c r="I56" s="1"/>
      <c r="J56" s="1"/>
      <c r="AF56" s="92"/>
      <c r="AG56" s="1"/>
      <c r="AH56" s="92"/>
      <c r="AM56" s="1"/>
    </row>
    <row r="57" spans="2:39" ht="25.5" customHeight="1" x14ac:dyDescent="0.2">
      <c r="B57" s="55" t="s">
        <v>77</v>
      </c>
      <c r="C57" s="176">
        <v>277.77777800000001</v>
      </c>
      <c r="D57" s="55" t="s">
        <v>60</v>
      </c>
      <c r="E57" s="55"/>
      <c r="F57" s="1"/>
      <c r="G57" s="352"/>
      <c r="H57" s="1"/>
      <c r="I57" s="1"/>
      <c r="J57" s="1"/>
      <c r="AF57" s="92"/>
      <c r="AG57" s="1"/>
      <c r="AH57" s="92"/>
      <c r="AM57" s="1"/>
    </row>
    <row r="58" spans="2:39" x14ac:dyDescent="0.2">
      <c r="B58" s="55" t="s">
        <v>76</v>
      </c>
      <c r="C58" s="55">
        <v>3.5999999999999999E-3</v>
      </c>
      <c r="D58" s="55" t="s">
        <v>60</v>
      </c>
      <c r="E58" s="55"/>
      <c r="F58" s="1"/>
      <c r="G58" s="145"/>
      <c r="H58" s="20"/>
      <c r="I58" s="20"/>
      <c r="J58" s="1"/>
      <c r="AF58" s="92"/>
      <c r="AG58" s="1"/>
      <c r="AH58" s="92"/>
      <c r="AM58" s="1"/>
    </row>
    <row r="59" spans="2:39" x14ac:dyDescent="0.2">
      <c r="B59" s="55" t="s">
        <v>16</v>
      </c>
      <c r="C59" s="164">
        <v>0.44080000000000003</v>
      </c>
      <c r="D59" s="57" t="s">
        <v>17</v>
      </c>
      <c r="E59" s="58" t="s">
        <v>392</v>
      </c>
      <c r="I59" s="1"/>
      <c r="J59" s="1"/>
      <c r="AF59" s="92"/>
      <c r="AG59" s="1"/>
      <c r="AH59" s="92"/>
      <c r="AM59" s="1"/>
    </row>
    <row r="60" spans="2:39" x14ac:dyDescent="0.2">
      <c r="B60" s="1"/>
      <c r="C60" s="159"/>
      <c r="D60" s="159"/>
      <c r="E60" s="1"/>
      <c r="F60" s="1"/>
      <c r="G60" s="1"/>
      <c r="H60" s="272"/>
      <c r="I60" s="272"/>
      <c r="J60" s="272"/>
      <c r="AF60" s="92"/>
      <c r="AG60" s="1"/>
      <c r="AH60" s="92"/>
      <c r="AM60" s="1"/>
    </row>
    <row r="61" spans="2:39" x14ac:dyDescent="0.2">
      <c r="B61" s="12" t="s">
        <v>216</v>
      </c>
      <c r="C61" s="1"/>
      <c r="D61" s="1"/>
      <c r="E61" s="1"/>
      <c r="F61" s="1"/>
      <c r="G61" s="272"/>
      <c r="H61" s="272"/>
      <c r="I61" s="272"/>
      <c r="J61" s="272"/>
      <c r="AF61" s="92"/>
      <c r="AG61" s="1"/>
      <c r="AH61" s="92"/>
      <c r="AM61" s="1"/>
    </row>
    <row r="62" spans="2:39" x14ac:dyDescent="0.2">
      <c r="B62" s="1"/>
      <c r="C62" s="1"/>
      <c r="D62" s="1"/>
      <c r="E62" s="1"/>
      <c r="F62" s="1"/>
      <c r="G62" s="272"/>
      <c r="H62" s="272"/>
      <c r="I62" s="272"/>
      <c r="J62" s="272"/>
      <c r="AF62" s="92"/>
      <c r="AG62" s="1"/>
      <c r="AH62" s="92"/>
      <c r="AM62" s="1"/>
    </row>
    <row r="63" spans="2:39" ht="16.5" x14ac:dyDescent="0.3">
      <c r="B63" s="93" t="s">
        <v>115</v>
      </c>
      <c r="C63" s="1"/>
      <c r="D63" s="1"/>
      <c r="E63" s="1"/>
      <c r="F63" s="1"/>
      <c r="G63" s="272"/>
      <c r="H63" s="272"/>
      <c r="I63" s="272"/>
      <c r="J63" s="272"/>
    </row>
    <row r="64" spans="2:39" x14ac:dyDescent="0.2">
      <c r="B64" s="182" t="s">
        <v>250</v>
      </c>
      <c r="C64" s="182"/>
      <c r="D64" s="182"/>
      <c r="E64" s="182"/>
      <c r="F64" s="1"/>
      <c r="G64" s="182" t="s">
        <v>251</v>
      </c>
      <c r="H64" s="182"/>
      <c r="I64" s="182"/>
      <c r="J64" s="277"/>
    </row>
    <row r="65" spans="1:39" ht="28.5" x14ac:dyDescent="0.2">
      <c r="B65" s="326" t="s">
        <v>67</v>
      </c>
      <c r="C65" s="185" t="s">
        <v>252</v>
      </c>
      <c r="D65" s="185" t="s">
        <v>253</v>
      </c>
      <c r="E65" s="186" t="s">
        <v>68</v>
      </c>
      <c r="F65" s="1"/>
      <c r="G65" s="187" t="s">
        <v>252</v>
      </c>
      <c r="H65" s="185" t="s">
        <v>253</v>
      </c>
      <c r="I65" s="186" t="s">
        <v>68</v>
      </c>
      <c r="J65" s="279"/>
    </row>
    <row r="66" spans="1:39" ht="51.75" thickBot="1" x14ac:dyDescent="0.25">
      <c r="B66" s="327"/>
      <c r="C66" s="189" t="s">
        <v>254</v>
      </c>
      <c r="D66" s="190" t="s">
        <v>255</v>
      </c>
      <c r="E66" s="189" t="s">
        <v>69</v>
      </c>
      <c r="F66" s="1"/>
      <c r="G66" s="191" t="s">
        <v>256</v>
      </c>
      <c r="H66" s="189" t="s">
        <v>257</v>
      </c>
      <c r="I66" s="192" t="s">
        <v>69</v>
      </c>
    </row>
    <row r="67" spans="1:39" x14ac:dyDescent="0.2">
      <c r="B67" s="193">
        <v>2017</v>
      </c>
      <c r="C67" s="328"/>
      <c r="D67" s="328"/>
      <c r="E67" s="329"/>
      <c r="F67" s="272"/>
      <c r="G67" s="328"/>
      <c r="H67" s="330"/>
      <c r="I67" s="329"/>
    </row>
    <row r="68" spans="1:39" x14ac:dyDescent="0.2">
      <c r="B68" s="197">
        <v>2018</v>
      </c>
      <c r="C68" s="379">
        <f t="shared" ref="C68:C80" si="11">E28*$C$57</f>
        <v>3000.0000024000005</v>
      </c>
      <c r="D68" s="379">
        <f t="shared" ref="D68:D80" si="12">E28*1000*$C$59/1000</f>
        <v>4.7606400000000004</v>
      </c>
      <c r="E68" s="333"/>
      <c r="F68" s="272"/>
      <c r="G68" s="379">
        <f t="shared" ref="G68:G80" si="13">D28*$C$57</f>
        <v>6000.0000048000011</v>
      </c>
      <c r="H68" s="379">
        <f>D28*$C$59</f>
        <v>9.5212800000000009</v>
      </c>
      <c r="I68" s="334"/>
    </row>
    <row r="69" spans="1:39" x14ac:dyDescent="0.2">
      <c r="B69" s="197">
        <v>2019</v>
      </c>
      <c r="C69" s="379">
        <f t="shared" si="11"/>
        <v>4500.0000036000001</v>
      </c>
      <c r="D69" s="379">
        <f t="shared" si="12"/>
        <v>7.1409599999999998</v>
      </c>
      <c r="E69" s="333"/>
      <c r="F69" s="272"/>
      <c r="G69" s="379">
        <f t="shared" si="13"/>
        <v>9000.0000072000003</v>
      </c>
      <c r="H69" s="379">
        <f t="shared" ref="H69:H80" si="14">D29*$C$59</f>
        <v>14.28192</v>
      </c>
      <c r="I69" s="334"/>
    </row>
    <row r="70" spans="1:39" x14ac:dyDescent="0.2">
      <c r="B70" s="197">
        <v>2020</v>
      </c>
      <c r="C70" s="379">
        <f t="shared" si="11"/>
        <v>5250.0000042000001</v>
      </c>
      <c r="D70" s="379">
        <f t="shared" si="12"/>
        <v>8.3311200000000003</v>
      </c>
      <c r="E70" s="333"/>
      <c r="F70" s="272"/>
      <c r="G70" s="379">
        <f t="shared" si="13"/>
        <v>10500.0000084</v>
      </c>
      <c r="H70" s="379">
        <f t="shared" si="14"/>
        <v>16.662240000000001</v>
      </c>
      <c r="I70" s="334"/>
    </row>
    <row r="71" spans="1:39" x14ac:dyDescent="0.2">
      <c r="B71" s="197">
        <v>2021</v>
      </c>
      <c r="C71" s="379">
        <f t="shared" si="11"/>
        <v>6000.0000048000011</v>
      </c>
      <c r="D71" s="379">
        <f t="shared" si="12"/>
        <v>9.5212800000000009</v>
      </c>
      <c r="E71" s="333"/>
      <c r="F71" s="272"/>
      <c r="G71" s="379">
        <f t="shared" si="13"/>
        <v>12000.000009600002</v>
      </c>
      <c r="H71" s="379">
        <f t="shared" si="14"/>
        <v>19.042560000000002</v>
      </c>
      <c r="I71" s="334"/>
    </row>
    <row r="72" spans="1:39" x14ac:dyDescent="0.2">
      <c r="B72" s="197">
        <v>2022</v>
      </c>
      <c r="C72" s="379">
        <f t="shared" si="11"/>
        <v>7500.0000060000002</v>
      </c>
      <c r="D72" s="379">
        <f t="shared" si="12"/>
        <v>11.9016</v>
      </c>
      <c r="E72" s="333"/>
      <c r="F72" s="272"/>
      <c r="G72" s="379">
        <f t="shared" si="13"/>
        <v>15000.000012</v>
      </c>
      <c r="H72" s="379">
        <f t="shared" si="14"/>
        <v>23.8032</v>
      </c>
      <c r="I72" s="334"/>
    </row>
    <row r="73" spans="1:39" s="18" customFormat="1" x14ac:dyDescent="0.2">
      <c r="A73" s="1"/>
      <c r="B73" s="197">
        <v>2023</v>
      </c>
      <c r="C73" s="379">
        <f t="shared" si="11"/>
        <v>8250.0000065999993</v>
      </c>
      <c r="D73" s="379">
        <f t="shared" si="12"/>
        <v>13.091760000000001</v>
      </c>
      <c r="E73" s="333"/>
      <c r="F73" s="272"/>
      <c r="G73" s="379">
        <f t="shared" si="13"/>
        <v>16500.000013199999</v>
      </c>
      <c r="H73" s="379">
        <f t="shared" si="14"/>
        <v>26.183520000000001</v>
      </c>
      <c r="I73" s="334"/>
      <c r="J73" s="92"/>
      <c r="L73" s="9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92"/>
    </row>
    <row r="74" spans="1:39" s="18" customFormat="1" ht="15.75" customHeight="1" x14ac:dyDescent="0.2">
      <c r="A74" s="1"/>
      <c r="B74" s="197">
        <v>2024</v>
      </c>
      <c r="C74" s="379">
        <f t="shared" si="11"/>
        <v>9000.0000072000003</v>
      </c>
      <c r="D74" s="379">
        <f t="shared" si="12"/>
        <v>14.28192</v>
      </c>
      <c r="E74" s="333"/>
      <c r="F74" s="272"/>
      <c r="G74" s="379">
        <f t="shared" si="13"/>
        <v>18000.000014400001</v>
      </c>
      <c r="H74" s="379">
        <f t="shared" si="14"/>
        <v>28.563839999999999</v>
      </c>
      <c r="I74" s="334"/>
      <c r="J74" s="92"/>
      <c r="L74" s="9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92"/>
    </row>
    <row r="75" spans="1:39" s="18" customFormat="1" x14ac:dyDescent="0.2">
      <c r="A75" s="1"/>
      <c r="B75" s="197">
        <v>2025</v>
      </c>
      <c r="C75" s="379">
        <f t="shared" si="11"/>
        <v>10500.0000084</v>
      </c>
      <c r="D75" s="379">
        <f t="shared" si="12"/>
        <v>16.662240000000001</v>
      </c>
      <c r="E75" s="333"/>
      <c r="F75" s="272"/>
      <c r="G75" s="379">
        <f t="shared" si="13"/>
        <v>21000.000016800001</v>
      </c>
      <c r="H75" s="379">
        <f t="shared" si="14"/>
        <v>33.324480000000001</v>
      </c>
      <c r="I75" s="334"/>
      <c r="J75" s="92"/>
      <c r="L75" s="9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92"/>
    </row>
    <row r="76" spans="1:39" s="18" customFormat="1" x14ac:dyDescent="0.2">
      <c r="A76" s="1"/>
      <c r="B76" s="197">
        <v>2026</v>
      </c>
      <c r="C76" s="379">
        <f t="shared" si="11"/>
        <v>11250.000009000001</v>
      </c>
      <c r="D76" s="379">
        <f t="shared" si="12"/>
        <v>17.852400000000003</v>
      </c>
      <c r="E76" s="333"/>
      <c r="F76" s="272"/>
      <c r="G76" s="379">
        <f t="shared" si="13"/>
        <v>22500.000018000002</v>
      </c>
      <c r="H76" s="379">
        <f t="shared" si="14"/>
        <v>35.704799999999999</v>
      </c>
      <c r="I76" s="334"/>
      <c r="J76" s="92"/>
      <c r="L76" s="9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92"/>
    </row>
    <row r="77" spans="1:39" s="18" customFormat="1" x14ac:dyDescent="0.2">
      <c r="A77" s="1"/>
      <c r="B77" s="197">
        <v>2027</v>
      </c>
      <c r="C77" s="379">
        <f t="shared" si="11"/>
        <v>12000.000009600002</v>
      </c>
      <c r="D77" s="379">
        <f t="shared" si="12"/>
        <v>19.042560000000002</v>
      </c>
      <c r="E77" s="333"/>
      <c r="F77" s="272"/>
      <c r="G77" s="379">
        <f t="shared" si="13"/>
        <v>24000.000019200004</v>
      </c>
      <c r="H77" s="379">
        <f t="shared" si="14"/>
        <v>38.085120000000003</v>
      </c>
      <c r="I77" s="334"/>
      <c r="J77" s="92"/>
      <c r="L77" s="9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92"/>
    </row>
    <row r="78" spans="1:39" s="18" customFormat="1" x14ac:dyDescent="0.2">
      <c r="A78" s="1"/>
      <c r="B78" s="197">
        <v>2028</v>
      </c>
      <c r="C78" s="379">
        <f t="shared" si="11"/>
        <v>13500.0000108</v>
      </c>
      <c r="D78" s="379">
        <f t="shared" si="12"/>
        <v>21.422879999999999</v>
      </c>
      <c r="E78" s="333"/>
      <c r="F78" s="272"/>
      <c r="G78" s="379">
        <f t="shared" si="13"/>
        <v>27000.000021600001</v>
      </c>
      <c r="H78" s="379">
        <f t="shared" si="14"/>
        <v>42.845760000000006</v>
      </c>
      <c r="I78" s="334"/>
      <c r="J78" s="92"/>
      <c r="L78" s="9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92"/>
    </row>
    <row r="79" spans="1:39" s="18" customFormat="1" x14ac:dyDescent="0.2">
      <c r="A79" s="1"/>
      <c r="B79" s="197">
        <v>2029</v>
      </c>
      <c r="C79" s="379">
        <f t="shared" si="11"/>
        <v>14250.000011399999</v>
      </c>
      <c r="D79" s="379">
        <f t="shared" si="12"/>
        <v>22.613040000000002</v>
      </c>
      <c r="E79" s="333"/>
      <c r="F79" s="272"/>
      <c r="G79" s="379">
        <f t="shared" si="13"/>
        <v>28500.000022799999</v>
      </c>
      <c r="H79" s="379">
        <f t="shared" si="14"/>
        <v>45.226080000000003</v>
      </c>
      <c r="I79" s="334"/>
      <c r="J79" s="92"/>
      <c r="L79" s="9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92"/>
    </row>
    <row r="80" spans="1:39" s="18" customFormat="1" ht="13.5" thickBot="1" x14ac:dyDescent="0.25">
      <c r="A80" s="1"/>
      <c r="B80" s="205">
        <v>2030</v>
      </c>
      <c r="C80" s="379">
        <f t="shared" si="11"/>
        <v>15000.000012</v>
      </c>
      <c r="D80" s="379">
        <f t="shared" si="12"/>
        <v>23.8032</v>
      </c>
      <c r="E80" s="335"/>
      <c r="F80" s="277"/>
      <c r="G80" s="379">
        <f t="shared" si="13"/>
        <v>30000.000024000001</v>
      </c>
      <c r="H80" s="379">
        <f t="shared" si="14"/>
        <v>47.606400000000001</v>
      </c>
      <c r="I80" s="336"/>
      <c r="J80" s="92"/>
      <c r="L80" s="9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92"/>
    </row>
    <row r="81" spans="1:39" s="18" customFormat="1" ht="17.25" thickBot="1" x14ac:dyDescent="0.35">
      <c r="A81" s="1"/>
      <c r="B81" s="208" t="s">
        <v>70</v>
      </c>
      <c r="C81" s="212">
        <f>SUM(C67:C80)</f>
        <v>120000.000096</v>
      </c>
      <c r="D81" s="212">
        <f>SUM(D67:D80)</f>
        <v>190.4256</v>
      </c>
      <c r="E81" s="210"/>
      <c r="F81" s="279"/>
      <c r="G81" s="209">
        <f>SUM(G67:G80)</f>
        <v>240000.00019200001</v>
      </c>
      <c r="H81" s="212">
        <f>SUM(H67:H80)</f>
        <v>380.85120000000001</v>
      </c>
      <c r="I81" s="33"/>
      <c r="J81" s="92"/>
      <c r="L81" s="9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92"/>
    </row>
    <row r="82" spans="1:39" s="18" customFormat="1" x14ac:dyDescent="0.2">
      <c r="A82" s="1"/>
      <c r="B82" s="92"/>
      <c r="C82" s="92"/>
      <c r="D82" s="92"/>
      <c r="E82" s="92"/>
      <c r="F82" s="92"/>
      <c r="G82" s="92"/>
      <c r="H82" s="92"/>
      <c r="I82" s="92"/>
      <c r="J82" s="92"/>
      <c r="L82" s="9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92"/>
    </row>
    <row r="83" spans="1:39" s="18" customFormat="1" x14ac:dyDescent="0.2">
      <c r="A83" s="1"/>
      <c r="B83" s="92"/>
      <c r="C83" s="92"/>
      <c r="D83" s="92"/>
      <c r="E83" s="92"/>
      <c r="F83" s="92"/>
      <c r="G83" s="92"/>
      <c r="H83" s="92"/>
      <c r="I83" s="92"/>
      <c r="J83" s="92"/>
      <c r="L83" s="9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92"/>
    </row>
    <row r="84" spans="1:39" s="18" customFormat="1" x14ac:dyDescent="0.2">
      <c r="A84" s="1"/>
      <c r="B84" s="92"/>
      <c r="C84" s="92"/>
      <c r="D84" s="92"/>
      <c r="E84" s="92"/>
      <c r="F84" s="92"/>
      <c r="G84" s="92"/>
      <c r="H84" s="92"/>
      <c r="I84" s="92"/>
      <c r="J84" s="92"/>
      <c r="L84" s="9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92"/>
    </row>
    <row r="85" spans="1:39" s="18" customFormat="1" ht="29.25" thickBot="1" x14ac:dyDescent="0.25">
      <c r="A85" s="1"/>
      <c r="B85" s="213" t="s">
        <v>42</v>
      </c>
      <c r="C85" s="214" t="s">
        <v>258</v>
      </c>
      <c r="D85" s="92"/>
      <c r="E85" s="92"/>
      <c r="F85" s="92"/>
      <c r="G85" s="92"/>
      <c r="H85" s="92"/>
      <c r="I85" s="92"/>
      <c r="J85" s="92"/>
      <c r="L85" s="9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92"/>
    </row>
    <row r="86" spans="1:39" s="18" customFormat="1" x14ac:dyDescent="0.2">
      <c r="A86" s="1"/>
      <c r="B86" s="215">
        <v>2018</v>
      </c>
      <c r="C86" s="216">
        <f t="shared" ref="C86:C99" si="15">H68-D68</f>
        <v>4.7606400000000004</v>
      </c>
      <c r="D86" s="92"/>
      <c r="E86" s="92"/>
      <c r="F86" s="92"/>
      <c r="G86" s="92"/>
      <c r="H86" s="92"/>
      <c r="I86" s="92"/>
      <c r="J86" s="92"/>
      <c r="L86" s="9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92"/>
    </row>
    <row r="87" spans="1:39" s="18" customFormat="1" x14ac:dyDescent="0.2">
      <c r="A87" s="1"/>
      <c r="B87" s="218">
        <v>2019</v>
      </c>
      <c r="C87" s="216">
        <f t="shared" si="15"/>
        <v>7.1409599999999998</v>
      </c>
      <c r="D87" s="92"/>
      <c r="E87" s="92"/>
      <c r="F87" s="92"/>
      <c r="G87" s="92"/>
      <c r="H87" s="92"/>
      <c r="I87" s="92"/>
      <c r="J87" s="92"/>
      <c r="L87" s="9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92"/>
    </row>
    <row r="88" spans="1:39" s="18" customFormat="1" x14ac:dyDescent="0.2">
      <c r="A88" s="1"/>
      <c r="B88" s="218">
        <v>2020</v>
      </c>
      <c r="C88" s="216">
        <f t="shared" si="15"/>
        <v>8.3311200000000003</v>
      </c>
      <c r="D88" s="92"/>
      <c r="E88" s="92"/>
      <c r="F88" s="92"/>
      <c r="G88" s="92"/>
      <c r="H88" s="92"/>
      <c r="I88" s="92"/>
      <c r="J88" s="92"/>
      <c r="L88" s="9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92"/>
    </row>
    <row r="89" spans="1:39" s="18" customFormat="1" x14ac:dyDescent="0.2">
      <c r="A89" s="1"/>
      <c r="B89" s="218">
        <v>2021</v>
      </c>
      <c r="C89" s="216">
        <f t="shared" si="15"/>
        <v>9.5212800000000009</v>
      </c>
      <c r="D89" s="92"/>
      <c r="E89" s="92"/>
      <c r="F89" s="92"/>
      <c r="G89" s="92"/>
      <c r="H89" s="92"/>
      <c r="I89" s="92"/>
      <c r="J89" s="92"/>
      <c r="L89" s="9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20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92"/>
    </row>
    <row r="90" spans="1:39" s="18" customFormat="1" x14ac:dyDescent="0.2">
      <c r="A90" s="1"/>
      <c r="B90" s="218">
        <v>2022</v>
      </c>
      <c r="C90" s="216">
        <f t="shared" si="15"/>
        <v>11.9016</v>
      </c>
      <c r="D90" s="92"/>
      <c r="E90" s="92"/>
      <c r="F90" s="92"/>
      <c r="G90" s="92"/>
      <c r="H90" s="92"/>
      <c r="I90" s="92"/>
      <c r="J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20"/>
      <c r="Y90" s="92"/>
      <c r="Z90" s="92"/>
      <c r="AA90" s="92"/>
      <c r="AB90" s="1"/>
      <c r="AC90" s="92"/>
      <c r="AD90" s="92"/>
      <c r="AE90" s="92"/>
      <c r="AF90" s="1"/>
      <c r="AG90" s="92"/>
      <c r="AH90" s="1"/>
      <c r="AI90" s="1"/>
      <c r="AJ90" s="1"/>
      <c r="AK90" s="1"/>
      <c r="AL90" s="1"/>
      <c r="AM90" s="92"/>
    </row>
    <row r="91" spans="1:39" s="18" customFormat="1" x14ac:dyDescent="0.2">
      <c r="A91" s="1"/>
      <c r="B91" s="218">
        <v>2023</v>
      </c>
      <c r="C91" s="216">
        <f t="shared" si="15"/>
        <v>13.091760000000001</v>
      </c>
      <c r="D91" s="92"/>
      <c r="E91" s="92"/>
      <c r="F91" s="92"/>
      <c r="G91" s="92"/>
      <c r="H91" s="92"/>
      <c r="I91" s="92"/>
      <c r="J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20"/>
      <c r="Y91" s="92"/>
      <c r="Z91" s="92"/>
      <c r="AA91" s="92"/>
      <c r="AB91" s="1"/>
      <c r="AC91" s="92"/>
      <c r="AD91" s="92"/>
      <c r="AE91" s="92"/>
      <c r="AF91" s="1"/>
      <c r="AG91" s="92"/>
      <c r="AH91" s="1"/>
      <c r="AI91" s="1"/>
      <c r="AJ91" s="1"/>
      <c r="AK91" s="1"/>
      <c r="AL91" s="1"/>
      <c r="AM91" s="92"/>
    </row>
    <row r="92" spans="1:39" s="18" customFormat="1" x14ac:dyDescent="0.2">
      <c r="A92" s="1"/>
      <c r="B92" s="218">
        <v>2024</v>
      </c>
      <c r="C92" s="216">
        <f t="shared" si="15"/>
        <v>14.28192</v>
      </c>
      <c r="D92" s="92"/>
      <c r="E92" s="92"/>
      <c r="F92" s="92"/>
      <c r="G92" s="92"/>
      <c r="H92" s="92"/>
      <c r="I92" s="92"/>
      <c r="J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20"/>
      <c r="Y92" s="92"/>
      <c r="Z92" s="92"/>
      <c r="AA92" s="92"/>
      <c r="AB92" s="1"/>
      <c r="AC92" s="92"/>
      <c r="AD92" s="92"/>
      <c r="AE92" s="92"/>
      <c r="AF92" s="1"/>
      <c r="AG92" s="92"/>
      <c r="AH92" s="1"/>
      <c r="AI92" s="1"/>
      <c r="AJ92" s="1"/>
      <c r="AK92" s="1"/>
      <c r="AL92" s="1"/>
      <c r="AM92" s="92"/>
    </row>
    <row r="93" spans="1:39" s="18" customFormat="1" x14ac:dyDescent="0.2">
      <c r="A93" s="1"/>
      <c r="B93" s="218">
        <v>2025</v>
      </c>
      <c r="C93" s="216">
        <f t="shared" si="15"/>
        <v>16.662240000000001</v>
      </c>
      <c r="D93" s="92"/>
      <c r="E93" s="92"/>
      <c r="F93" s="92"/>
      <c r="G93" s="92"/>
      <c r="H93" s="92"/>
      <c r="I93" s="92"/>
      <c r="J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20"/>
      <c r="Y93" s="92"/>
      <c r="Z93" s="92"/>
      <c r="AA93" s="92"/>
      <c r="AB93" s="1"/>
      <c r="AC93" s="92"/>
      <c r="AD93" s="92"/>
      <c r="AE93" s="92"/>
      <c r="AF93" s="1"/>
      <c r="AG93" s="92"/>
      <c r="AH93" s="1"/>
      <c r="AI93" s="1"/>
      <c r="AJ93" s="1"/>
      <c r="AK93" s="1"/>
      <c r="AL93" s="1"/>
      <c r="AM93" s="92"/>
    </row>
    <row r="94" spans="1:39" s="18" customFormat="1" x14ac:dyDescent="0.2">
      <c r="A94" s="1"/>
      <c r="B94" s="218">
        <v>2026</v>
      </c>
      <c r="C94" s="216">
        <f t="shared" si="15"/>
        <v>17.852399999999996</v>
      </c>
      <c r="D94" s="92"/>
      <c r="E94" s="92"/>
      <c r="F94" s="92"/>
      <c r="G94" s="92"/>
      <c r="H94" s="92"/>
      <c r="I94" s="92"/>
      <c r="J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20"/>
      <c r="Y94" s="92"/>
      <c r="Z94" s="92"/>
      <c r="AA94" s="92"/>
      <c r="AB94" s="1"/>
      <c r="AC94" s="92"/>
      <c r="AD94" s="92"/>
      <c r="AE94" s="92"/>
      <c r="AF94" s="1"/>
      <c r="AG94" s="92"/>
      <c r="AH94" s="1"/>
      <c r="AI94" s="1"/>
      <c r="AJ94" s="1"/>
      <c r="AK94" s="1"/>
      <c r="AL94" s="1"/>
      <c r="AM94" s="92"/>
    </row>
    <row r="95" spans="1:39" s="18" customFormat="1" x14ac:dyDescent="0.2">
      <c r="A95" s="1"/>
      <c r="B95" s="218">
        <v>2027</v>
      </c>
      <c r="C95" s="216">
        <f t="shared" si="15"/>
        <v>19.042560000000002</v>
      </c>
      <c r="D95" s="92"/>
      <c r="E95" s="92"/>
      <c r="F95" s="92"/>
      <c r="G95" s="92"/>
      <c r="H95" s="92"/>
      <c r="I95" s="92"/>
      <c r="J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20"/>
      <c r="Y95" s="92"/>
      <c r="Z95" s="92"/>
      <c r="AA95" s="92"/>
      <c r="AB95" s="1"/>
      <c r="AC95" s="92"/>
      <c r="AD95" s="92"/>
      <c r="AE95" s="92"/>
      <c r="AF95" s="1"/>
      <c r="AG95" s="92"/>
      <c r="AH95" s="1"/>
      <c r="AI95" s="1"/>
      <c r="AJ95" s="1"/>
      <c r="AK95" s="1"/>
      <c r="AL95" s="1"/>
      <c r="AM95" s="92"/>
    </row>
    <row r="96" spans="1:39" x14ac:dyDescent="0.2">
      <c r="B96" s="218">
        <v>2028</v>
      </c>
      <c r="C96" s="216">
        <f t="shared" si="15"/>
        <v>21.422880000000006</v>
      </c>
    </row>
    <row r="97" spans="2:4" x14ac:dyDescent="0.2">
      <c r="B97" s="218">
        <v>2029</v>
      </c>
      <c r="C97" s="216">
        <f t="shared" si="15"/>
        <v>22.613040000000002</v>
      </c>
    </row>
    <row r="98" spans="2:4" x14ac:dyDescent="0.2">
      <c r="B98" s="218">
        <v>2030</v>
      </c>
      <c r="C98" s="216">
        <f t="shared" si="15"/>
        <v>23.8032</v>
      </c>
    </row>
    <row r="99" spans="2:4" x14ac:dyDescent="0.2">
      <c r="B99" s="221" t="s">
        <v>71</v>
      </c>
      <c r="C99" s="216">
        <f t="shared" si="15"/>
        <v>190.4256</v>
      </c>
      <c r="D99" s="92" t="s">
        <v>116</v>
      </c>
    </row>
    <row r="100" spans="2:4" x14ac:dyDescent="0.2">
      <c r="B100" s="223" t="s">
        <v>72</v>
      </c>
      <c r="C100" s="224">
        <f>AVERAGE(C86:C98)</f>
        <v>14.648123076923079</v>
      </c>
    </row>
    <row r="103" spans="2:4" ht="15.75" x14ac:dyDescent="0.2">
      <c r="B103" s="225" t="s">
        <v>344</v>
      </c>
      <c r="C103" s="226">
        <f>(N45-N46)/C99</f>
        <v>-0.94834857686192342</v>
      </c>
    </row>
  </sheetData>
  <mergeCells count="24">
    <mergeCell ref="B10:B11"/>
    <mergeCell ref="C10:D11"/>
    <mergeCell ref="E10:E11"/>
    <mergeCell ref="F10:F11"/>
    <mergeCell ref="G10:H11"/>
    <mergeCell ref="B8:B9"/>
    <mergeCell ref="C8:D9"/>
    <mergeCell ref="E8:E9"/>
    <mergeCell ref="F8:F9"/>
    <mergeCell ref="G8:H9"/>
    <mergeCell ref="B52:B56"/>
    <mergeCell ref="B25:B26"/>
    <mergeCell ref="C25:C26"/>
    <mergeCell ref="D25:D26"/>
    <mergeCell ref="E25:E26"/>
    <mergeCell ref="Q14:Q15"/>
    <mergeCell ref="B47:B50"/>
    <mergeCell ref="M36:M39"/>
    <mergeCell ref="N36:N39"/>
    <mergeCell ref="O36:O39"/>
    <mergeCell ref="P36:P39"/>
    <mergeCell ref="N14:N15"/>
    <mergeCell ref="O14:O15"/>
    <mergeCell ref="P14:P15"/>
  </mergeCells>
  <pageMargins left="0.7" right="0.7" top="0.75" bottom="0.75" header="0.3" footer="0.3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Informativo</vt:lpstr>
      <vt:lpstr>MH1</vt:lpstr>
      <vt:lpstr>MH2</vt:lpstr>
      <vt:lpstr>Resumen MH</vt:lpstr>
      <vt:lpstr>Paneles</vt:lpstr>
      <vt:lpstr>Luminarias</vt:lpstr>
      <vt:lpstr>Calentadores</vt:lpstr>
      <vt:lpstr>kWhPERjoule</vt:lpstr>
      <vt:lpstr>Mwh_TJ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Arturo</dc:creator>
  <cp:lastModifiedBy>ダビドレスかノ</cp:lastModifiedBy>
  <dcterms:created xsi:type="dcterms:W3CDTF">2017-06-15T14:39:15Z</dcterms:created>
  <dcterms:modified xsi:type="dcterms:W3CDTF">2017-07-05T17:46:07Z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d_2a" linkTarget="prop_qd_2a">
    <vt:r8>0</vt:r8>
  </property>
  <property fmtid="{D5CDD505-2E9C-101B-9397-08002B2CF9AE}" pid="3" name="qdr_2a" linkTarget="prop_qdr_2a">
    <vt:r8>0</vt:r8>
  </property>
</Properties>
</file>